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848" yWindow="-360" windowWidth="12732" windowHeight="11640" firstSheet="1" activeTab="1"/>
  </bookViews>
  <sheets>
    <sheet name="Rate Design" sheetId="1" state="hidden" r:id="rId1"/>
    <sheet name="Rate Design (DEM)" sheetId="4" r:id="rId2"/>
    <sheet name="Rate Design (ENER) (1)" sheetId="5" state="hidden" r:id="rId3"/>
    <sheet name="Rate Design (ENER) (3)" sheetId="7" state="hidden" r:id="rId4"/>
    <sheet name="Rate Design (ENER) (2)" sheetId="6" state="hidden" r:id="rId5"/>
    <sheet name="COS Sch 1.2 pg 6of6" sheetId="8" r:id="rId6"/>
  </sheets>
  <externalReferences>
    <externalReference r:id="rId7"/>
    <externalReference r:id="rId8"/>
  </externalReferences>
  <definedNames>
    <definedName name="_xlnm.Print_Titles" localSheetId="0">'Rate Design'!$1:$4</definedName>
    <definedName name="_xlnm.Print_Titles" localSheetId="1">'Rate Design (DEM)'!$1:$4</definedName>
    <definedName name="_xlnm.Print_Titles" localSheetId="2">'Rate Design (ENER) (1)'!$1:$4</definedName>
    <definedName name="_xlnm.Print_Titles" localSheetId="4">'Rate Design (ENER) (2)'!$1:$4</definedName>
    <definedName name="_xlnm.Print_Titles" localSheetId="3">'Rate Design (ENER) (3)'!$1:$4</definedName>
    <definedName name="RunName">[1]RunOptions!$B$23</definedName>
  </definedNames>
  <calcPr calcId="145621"/>
</workbook>
</file>

<file path=xl/calcChain.xml><?xml version="1.0" encoding="utf-8"?>
<calcChain xmlns="http://schemas.openxmlformats.org/spreadsheetml/2006/main">
  <c r="A165" i="4" l="1"/>
  <c r="A164" i="4"/>
  <c r="C18" i="4"/>
  <c r="C17" i="4"/>
  <c r="C165" i="4" l="1"/>
  <c r="C94" i="4"/>
  <c r="C75" i="4"/>
  <c r="C57" i="4"/>
  <c r="C43" i="4"/>
  <c r="F114" i="4" l="1"/>
  <c r="E106" i="4" l="1"/>
  <c r="C101" i="4" l="1"/>
  <c r="C100" i="4"/>
  <c r="C59" i="4" l="1"/>
  <c r="J162" i="7"/>
  <c r="D162" i="7"/>
  <c r="I162" i="7" s="1"/>
  <c r="H161" i="7"/>
  <c r="D161" i="7"/>
  <c r="I161" i="7" s="1"/>
  <c r="J160" i="7"/>
  <c r="F160" i="7"/>
  <c r="D160" i="7"/>
  <c r="I160" i="7" s="1"/>
  <c r="J159" i="7"/>
  <c r="D159" i="7"/>
  <c r="F159" i="7" s="1"/>
  <c r="J158" i="7"/>
  <c r="F158" i="7"/>
  <c r="D158" i="7"/>
  <c r="I158" i="7" s="1"/>
  <c r="J157" i="7"/>
  <c r="D157" i="7"/>
  <c r="F157" i="7" s="1"/>
  <c r="J156" i="7"/>
  <c r="E156" i="7"/>
  <c r="D156" i="7"/>
  <c r="I156" i="7" s="1"/>
  <c r="J155" i="7"/>
  <c r="F155" i="7"/>
  <c r="D155" i="7"/>
  <c r="I155" i="7" s="1"/>
  <c r="H154" i="7"/>
  <c r="J154" i="7" s="1"/>
  <c r="D143" i="7"/>
  <c r="H142" i="7"/>
  <c r="E142" i="7"/>
  <c r="F142" i="7" s="1"/>
  <c r="H141" i="7"/>
  <c r="E141" i="7"/>
  <c r="F141" i="7" s="1"/>
  <c r="H140" i="7"/>
  <c r="F140" i="7"/>
  <c r="H139" i="7"/>
  <c r="F139" i="7"/>
  <c r="E139" i="7"/>
  <c r="H138" i="7"/>
  <c r="F138" i="7"/>
  <c r="E138" i="7"/>
  <c r="H137" i="7"/>
  <c r="F137" i="7"/>
  <c r="E137" i="7"/>
  <c r="H136" i="7"/>
  <c r="F136" i="7"/>
  <c r="H135" i="7"/>
  <c r="E135" i="7"/>
  <c r="F135" i="7" s="1"/>
  <c r="H134" i="7"/>
  <c r="H143" i="7" s="1"/>
  <c r="E134" i="7"/>
  <c r="E146" i="7" s="1"/>
  <c r="E125" i="7"/>
  <c r="D121" i="7"/>
  <c r="H120" i="7"/>
  <c r="F120" i="7"/>
  <c r="H119" i="7"/>
  <c r="F119" i="7"/>
  <c r="H118" i="7"/>
  <c r="F118" i="7"/>
  <c r="H117" i="7"/>
  <c r="F117" i="7"/>
  <c r="H116" i="7"/>
  <c r="F116" i="7"/>
  <c r="H115" i="7"/>
  <c r="F115" i="7"/>
  <c r="H114" i="7"/>
  <c r="H121" i="7" s="1"/>
  <c r="F114" i="7"/>
  <c r="F121" i="7" s="1"/>
  <c r="E106" i="7"/>
  <c r="G105" i="7"/>
  <c r="C105" i="7"/>
  <c r="H105" i="7" s="1"/>
  <c r="G104" i="7"/>
  <c r="H104" i="7" s="1"/>
  <c r="E104" i="7"/>
  <c r="G103" i="7"/>
  <c r="H103" i="7" s="1"/>
  <c r="E103" i="7"/>
  <c r="G102" i="7"/>
  <c r="H102" i="7" s="1"/>
  <c r="E102" i="7"/>
  <c r="E101" i="7"/>
  <c r="C101" i="7"/>
  <c r="H101" i="7" s="1"/>
  <c r="E100" i="7"/>
  <c r="E107" i="7" s="1"/>
  <c r="C100" i="7"/>
  <c r="H100" i="7" s="1"/>
  <c r="C96" i="7"/>
  <c r="E109" i="7" s="1"/>
  <c r="E87" i="7"/>
  <c r="G86" i="7"/>
  <c r="C86" i="7"/>
  <c r="H86" i="7" s="1"/>
  <c r="G85" i="7"/>
  <c r="C85" i="7"/>
  <c r="H85" i="7" s="1"/>
  <c r="H84" i="7"/>
  <c r="G84" i="7"/>
  <c r="E84" i="7"/>
  <c r="H83" i="7"/>
  <c r="G83" i="7"/>
  <c r="E83" i="7"/>
  <c r="H82" i="7"/>
  <c r="E82" i="7"/>
  <c r="H81" i="7"/>
  <c r="E81" i="7"/>
  <c r="E88" i="7" s="1"/>
  <c r="C77" i="7"/>
  <c r="E69" i="7"/>
  <c r="G68" i="7"/>
  <c r="E68" i="7"/>
  <c r="C68" i="7"/>
  <c r="H68" i="7" s="1"/>
  <c r="G67" i="7"/>
  <c r="C67" i="7"/>
  <c r="H67" i="7" s="1"/>
  <c r="G66" i="7"/>
  <c r="C66" i="7"/>
  <c r="H66" i="7" s="1"/>
  <c r="H65" i="7"/>
  <c r="G65" i="7"/>
  <c r="E65" i="7"/>
  <c r="I64" i="7"/>
  <c r="H64" i="7"/>
  <c r="E64" i="7"/>
  <c r="I63" i="7"/>
  <c r="H63" i="7"/>
  <c r="E63" i="7"/>
  <c r="C59" i="7"/>
  <c r="E51" i="7"/>
  <c r="I50" i="7"/>
  <c r="H50" i="7"/>
  <c r="E50" i="7"/>
  <c r="I49" i="7"/>
  <c r="C49" i="7"/>
  <c r="E49" i="7" s="1"/>
  <c r="C45" i="7"/>
  <c r="E35" i="7"/>
  <c r="E34" i="7"/>
  <c r="E36" i="7" s="1"/>
  <c r="C32" i="7"/>
  <c r="E31" i="7"/>
  <c r="G30" i="7"/>
  <c r="G31" i="7" s="1"/>
  <c r="E30" i="7"/>
  <c r="E32" i="7" s="1"/>
  <c r="H27" i="7"/>
  <c r="G27" i="7"/>
  <c r="I27" i="7" s="1"/>
  <c r="E27" i="7"/>
  <c r="C27" i="7"/>
  <c r="I26" i="7"/>
  <c r="C26" i="7"/>
  <c r="C28" i="7" s="1"/>
  <c r="C19" i="7"/>
  <c r="C21" i="7" s="1"/>
  <c r="A7" i="7"/>
  <c r="A8" i="7" s="1"/>
  <c r="A9" i="7" s="1"/>
  <c r="A10" i="7" s="1"/>
  <c r="A11" i="7" s="1"/>
  <c r="A12" i="7" s="1"/>
  <c r="A13" i="7" s="1"/>
  <c r="A14" i="7" s="1"/>
  <c r="A17" i="7" s="1"/>
  <c r="A18" i="7" s="1"/>
  <c r="A19" i="7" s="1"/>
  <c r="A4" i="7"/>
  <c r="J162" i="6"/>
  <c r="D162" i="6"/>
  <c r="I162" i="6" s="1"/>
  <c r="H161" i="6"/>
  <c r="D161" i="6"/>
  <c r="I161" i="6" s="1"/>
  <c r="J160" i="6"/>
  <c r="F160" i="6"/>
  <c r="D160" i="6"/>
  <c r="I160" i="6" s="1"/>
  <c r="J159" i="6"/>
  <c r="D159" i="6"/>
  <c r="F159" i="6" s="1"/>
  <c r="J158" i="6"/>
  <c r="F158" i="6"/>
  <c r="D158" i="6"/>
  <c r="I158" i="6" s="1"/>
  <c r="J157" i="6"/>
  <c r="D157" i="6"/>
  <c r="F157" i="6" s="1"/>
  <c r="J156" i="6"/>
  <c r="E156" i="6"/>
  <c r="D156" i="6"/>
  <c r="I156" i="6" s="1"/>
  <c r="J155" i="6"/>
  <c r="F155" i="6"/>
  <c r="D155" i="6"/>
  <c r="I155" i="6" s="1"/>
  <c r="H154" i="6"/>
  <c r="J154" i="6" s="1"/>
  <c r="D143" i="6"/>
  <c r="H142" i="6"/>
  <c r="E142" i="6"/>
  <c r="F142" i="6" s="1"/>
  <c r="H141" i="6"/>
  <c r="E141" i="6"/>
  <c r="F141" i="6" s="1"/>
  <c r="H140" i="6"/>
  <c r="F140" i="6"/>
  <c r="H139" i="6"/>
  <c r="F139" i="6"/>
  <c r="E139" i="6"/>
  <c r="H138" i="6"/>
  <c r="F138" i="6"/>
  <c r="E138" i="6"/>
  <c r="H137" i="6"/>
  <c r="F137" i="6"/>
  <c r="E137" i="6"/>
  <c r="H136" i="6"/>
  <c r="F136" i="6"/>
  <c r="H135" i="6"/>
  <c r="E135" i="6"/>
  <c r="F135" i="6" s="1"/>
  <c r="H134" i="6"/>
  <c r="H143" i="6" s="1"/>
  <c r="E134" i="6"/>
  <c r="E146" i="6" s="1"/>
  <c r="E125" i="6"/>
  <c r="D121" i="6"/>
  <c r="H120" i="6"/>
  <c r="F120" i="6"/>
  <c r="H119" i="6"/>
  <c r="F119" i="6"/>
  <c r="H118" i="6"/>
  <c r="F118" i="6"/>
  <c r="H117" i="6"/>
  <c r="F117" i="6"/>
  <c r="H116" i="6"/>
  <c r="F116" i="6"/>
  <c r="H115" i="6"/>
  <c r="F115" i="6"/>
  <c r="H114" i="6"/>
  <c r="H121" i="6" s="1"/>
  <c r="F114" i="6"/>
  <c r="F121" i="6" s="1"/>
  <c r="E106" i="6"/>
  <c r="G105" i="6"/>
  <c r="C105" i="6"/>
  <c r="H105" i="6" s="1"/>
  <c r="G104" i="6"/>
  <c r="H104" i="6" s="1"/>
  <c r="E104" i="6"/>
  <c r="G103" i="6"/>
  <c r="H103" i="6" s="1"/>
  <c r="E103" i="6"/>
  <c r="G102" i="6"/>
  <c r="H102" i="6" s="1"/>
  <c r="E102" i="6"/>
  <c r="C101" i="6"/>
  <c r="H101" i="6" s="1"/>
  <c r="C100" i="6"/>
  <c r="H100" i="6" s="1"/>
  <c r="C96" i="6"/>
  <c r="E87" i="6"/>
  <c r="G86" i="6"/>
  <c r="C86" i="6"/>
  <c r="H86" i="6" s="1"/>
  <c r="G85" i="6"/>
  <c r="C85" i="6"/>
  <c r="H85" i="6" s="1"/>
  <c r="G84" i="6"/>
  <c r="H84" i="6" s="1"/>
  <c r="E84" i="6"/>
  <c r="G83" i="6"/>
  <c r="H83" i="6" s="1"/>
  <c r="E83" i="6"/>
  <c r="H82" i="6"/>
  <c r="E82" i="6"/>
  <c r="H81" i="6"/>
  <c r="E81" i="6"/>
  <c r="E88" i="6" s="1"/>
  <c r="C77" i="6"/>
  <c r="E69" i="6"/>
  <c r="G68" i="6"/>
  <c r="E68" i="6"/>
  <c r="C68" i="6"/>
  <c r="H68" i="6" s="1"/>
  <c r="G67" i="6"/>
  <c r="C67" i="6"/>
  <c r="H67" i="6" s="1"/>
  <c r="G66" i="6"/>
  <c r="C66" i="6"/>
  <c r="H66" i="6" s="1"/>
  <c r="H65" i="6"/>
  <c r="G65" i="6"/>
  <c r="E65" i="6"/>
  <c r="I64" i="6"/>
  <c r="H64" i="6"/>
  <c r="E64" i="6"/>
  <c r="I63" i="6"/>
  <c r="H63" i="6"/>
  <c r="E63" i="6"/>
  <c r="C59" i="6"/>
  <c r="E51" i="6"/>
  <c r="I50" i="6"/>
  <c r="H50" i="6"/>
  <c r="E50" i="6"/>
  <c r="I49" i="6"/>
  <c r="C49" i="6"/>
  <c r="E49" i="6" s="1"/>
  <c r="C45" i="6"/>
  <c r="E35" i="6"/>
  <c r="E34" i="6"/>
  <c r="C32" i="6"/>
  <c r="E31" i="6"/>
  <c r="G30" i="6"/>
  <c r="I30" i="6" s="1"/>
  <c r="E30" i="6"/>
  <c r="E32" i="6" s="1"/>
  <c r="H27" i="6"/>
  <c r="G27" i="6"/>
  <c r="I27" i="6" s="1"/>
  <c r="E27" i="6"/>
  <c r="C27" i="6"/>
  <c r="I26" i="6"/>
  <c r="C26" i="6"/>
  <c r="H26" i="6" s="1"/>
  <c r="H28" i="6" s="1"/>
  <c r="C19" i="6"/>
  <c r="C21" i="6" s="1"/>
  <c r="A7" i="6"/>
  <c r="A8" i="6" s="1"/>
  <c r="A9" i="6" s="1"/>
  <c r="A10" i="6" s="1"/>
  <c r="A11" i="6" s="1"/>
  <c r="A12" i="6" s="1"/>
  <c r="A13" i="6" s="1"/>
  <c r="A14" i="6" s="1"/>
  <c r="A17" i="6" s="1"/>
  <c r="A18" i="6" s="1"/>
  <c r="A19" i="6" s="1"/>
  <c r="A4" i="6"/>
  <c r="C100" i="5"/>
  <c r="J162" i="5"/>
  <c r="D162" i="5"/>
  <c r="I162" i="5" s="1"/>
  <c r="I161" i="5"/>
  <c r="H161" i="5"/>
  <c r="F161" i="5"/>
  <c r="D161" i="5"/>
  <c r="J160" i="5"/>
  <c r="D160" i="5"/>
  <c r="I160" i="5" s="1"/>
  <c r="J159" i="5"/>
  <c r="F159" i="5"/>
  <c r="D159" i="5"/>
  <c r="I159" i="5" s="1"/>
  <c r="J158" i="5"/>
  <c r="D158" i="5"/>
  <c r="I158" i="5" s="1"/>
  <c r="J157" i="5"/>
  <c r="F157" i="5"/>
  <c r="D157" i="5"/>
  <c r="I157" i="5" s="1"/>
  <c r="I156" i="5"/>
  <c r="E156" i="5"/>
  <c r="J156" i="5" s="1"/>
  <c r="D156" i="5"/>
  <c r="F156" i="5" s="1"/>
  <c r="J155" i="5"/>
  <c r="D155" i="5"/>
  <c r="I155" i="5" s="1"/>
  <c r="H154" i="5"/>
  <c r="J154" i="5" s="1"/>
  <c r="D143" i="5"/>
  <c r="H142" i="5"/>
  <c r="F142" i="5"/>
  <c r="E142" i="5"/>
  <c r="H141" i="5"/>
  <c r="F141" i="5"/>
  <c r="E141" i="5"/>
  <c r="H140" i="5"/>
  <c r="F140" i="5"/>
  <c r="H139" i="5"/>
  <c r="E139" i="5"/>
  <c r="F139" i="5" s="1"/>
  <c r="H138" i="5"/>
  <c r="E138" i="5"/>
  <c r="F138" i="5" s="1"/>
  <c r="H137" i="5"/>
  <c r="E137" i="5"/>
  <c r="F137" i="5" s="1"/>
  <c r="H136" i="5"/>
  <c r="F136" i="5"/>
  <c r="H135" i="5"/>
  <c r="F135" i="5"/>
  <c r="E135" i="5"/>
  <c r="H134" i="5"/>
  <c r="H143" i="5" s="1"/>
  <c r="F134" i="5"/>
  <c r="E134" i="5"/>
  <c r="E146" i="5" s="1"/>
  <c r="E125" i="5"/>
  <c r="D121" i="5"/>
  <c r="H120" i="5"/>
  <c r="F120" i="5"/>
  <c r="H119" i="5"/>
  <c r="F119" i="5"/>
  <c r="H118" i="5"/>
  <c r="F118" i="5"/>
  <c r="H117" i="5"/>
  <c r="F117" i="5"/>
  <c r="H116" i="5"/>
  <c r="F116" i="5"/>
  <c r="H115" i="5"/>
  <c r="F115" i="5"/>
  <c r="H114" i="5"/>
  <c r="H121" i="5" s="1"/>
  <c r="F114" i="5"/>
  <c r="F121" i="5" s="1"/>
  <c r="E106" i="5"/>
  <c r="G105" i="5"/>
  <c r="C105" i="5"/>
  <c r="H105" i="5" s="1"/>
  <c r="H104" i="5"/>
  <c r="G104" i="5"/>
  <c r="E104" i="5"/>
  <c r="H103" i="5"/>
  <c r="G103" i="5"/>
  <c r="E103" i="5"/>
  <c r="H102" i="5"/>
  <c r="G102" i="5"/>
  <c r="E102" i="5"/>
  <c r="C101" i="5"/>
  <c r="H101" i="5" s="1"/>
  <c r="H100" i="5"/>
  <c r="C96" i="5"/>
  <c r="E87" i="5"/>
  <c r="G86" i="5"/>
  <c r="C86" i="5"/>
  <c r="H86" i="5" s="1"/>
  <c r="G85" i="5"/>
  <c r="C85" i="5"/>
  <c r="H85" i="5" s="1"/>
  <c r="G84" i="5"/>
  <c r="H84" i="5" s="1"/>
  <c r="E84" i="5"/>
  <c r="G83" i="5"/>
  <c r="H83" i="5" s="1"/>
  <c r="E83" i="5"/>
  <c r="H82" i="5"/>
  <c r="E82" i="5"/>
  <c r="H81" i="5"/>
  <c r="E81" i="5"/>
  <c r="E88" i="5" s="1"/>
  <c r="C77" i="5"/>
  <c r="E69" i="5"/>
  <c r="G68" i="5"/>
  <c r="E68" i="5"/>
  <c r="C68" i="5" s="1"/>
  <c r="H68" i="5" s="1"/>
  <c r="G67" i="5"/>
  <c r="C67" i="5"/>
  <c r="H67" i="5" s="1"/>
  <c r="G66" i="5"/>
  <c r="C66" i="5"/>
  <c r="H66" i="5" s="1"/>
  <c r="H65" i="5"/>
  <c r="G65" i="5"/>
  <c r="E65" i="5"/>
  <c r="I64" i="5"/>
  <c r="H64" i="5"/>
  <c r="E64" i="5"/>
  <c r="I63" i="5"/>
  <c r="H63" i="5"/>
  <c r="E63" i="5"/>
  <c r="C59" i="5"/>
  <c r="E51" i="5"/>
  <c r="I50" i="5"/>
  <c r="H50" i="5"/>
  <c r="E50" i="5"/>
  <c r="I49" i="5"/>
  <c r="C49" i="5"/>
  <c r="H49" i="5" s="1"/>
  <c r="C45" i="5"/>
  <c r="E35" i="5"/>
  <c r="E34" i="5"/>
  <c r="E36" i="5" s="1"/>
  <c r="C32" i="5"/>
  <c r="E31" i="5"/>
  <c r="E32" i="5" s="1"/>
  <c r="G30" i="5"/>
  <c r="I30" i="5" s="1"/>
  <c r="E30" i="5"/>
  <c r="H27" i="5"/>
  <c r="G27" i="5"/>
  <c r="I27" i="5" s="1"/>
  <c r="E27" i="5"/>
  <c r="C27" i="5"/>
  <c r="I26" i="5"/>
  <c r="C26" i="5"/>
  <c r="H26" i="5" s="1"/>
  <c r="H28" i="5" s="1"/>
  <c r="C19" i="5"/>
  <c r="C21" i="5" s="1"/>
  <c r="A7" i="5"/>
  <c r="A8" i="5" s="1"/>
  <c r="A9" i="5" s="1"/>
  <c r="A10" i="5" s="1"/>
  <c r="A11" i="5" s="1"/>
  <c r="A12" i="5" s="1"/>
  <c r="A13" i="5" s="1"/>
  <c r="A14" i="5" s="1"/>
  <c r="A17" i="5" s="1"/>
  <c r="A18" i="5" s="1"/>
  <c r="A19" i="5" s="1"/>
  <c r="A4" i="5"/>
  <c r="H101" i="4"/>
  <c r="J162" i="4"/>
  <c r="D162" i="4"/>
  <c r="I162" i="4" s="1"/>
  <c r="D161" i="4"/>
  <c r="I161" i="4" s="1"/>
  <c r="J160" i="4"/>
  <c r="D160" i="4"/>
  <c r="I160" i="4" s="1"/>
  <c r="J159" i="4"/>
  <c r="D159" i="4"/>
  <c r="F159" i="4" s="1"/>
  <c r="J158" i="4"/>
  <c r="D158" i="4"/>
  <c r="I158" i="4" s="1"/>
  <c r="J157" i="4"/>
  <c r="D157" i="4"/>
  <c r="F157" i="4" s="1"/>
  <c r="J156" i="4"/>
  <c r="E156" i="4"/>
  <c r="D156" i="4"/>
  <c r="I156" i="4" s="1"/>
  <c r="J155" i="4"/>
  <c r="D155" i="4"/>
  <c r="I155" i="4" s="1"/>
  <c r="J154" i="4"/>
  <c r="D143" i="4"/>
  <c r="H142" i="4"/>
  <c r="E142" i="4"/>
  <c r="F142" i="4" s="1"/>
  <c r="H141" i="4"/>
  <c r="E141" i="4"/>
  <c r="F141" i="4" s="1"/>
  <c r="H140" i="4"/>
  <c r="F140" i="4"/>
  <c r="H139" i="4"/>
  <c r="F139" i="4"/>
  <c r="E139" i="4"/>
  <c r="H138" i="4"/>
  <c r="E138" i="4"/>
  <c r="F138" i="4" s="1"/>
  <c r="H137" i="4"/>
  <c r="F137" i="4"/>
  <c r="E137" i="4"/>
  <c r="H136" i="4"/>
  <c r="F136" i="4"/>
  <c r="H135" i="4"/>
  <c r="E135" i="4"/>
  <c r="F135" i="4" s="1"/>
  <c r="H134" i="4"/>
  <c r="E134" i="4"/>
  <c r="E146" i="4" s="1"/>
  <c r="E125" i="4"/>
  <c r="D121" i="4"/>
  <c r="H120" i="4"/>
  <c r="F120" i="4"/>
  <c r="H119" i="4"/>
  <c r="F119" i="4"/>
  <c r="H118" i="4"/>
  <c r="F118" i="4"/>
  <c r="H117" i="4"/>
  <c r="F117" i="4"/>
  <c r="H116" i="4"/>
  <c r="F116" i="4"/>
  <c r="H115" i="4"/>
  <c r="F115" i="4"/>
  <c r="H114" i="4"/>
  <c r="G105" i="4"/>
  <c r="C105" i="4"/>
  <c r="H105" i="4" s="1"/>
  <c r="G104" i="4"/>
  <c r="H104" i="4" s="1"/>
  <c r="E104" i="4"/>
  <c r="G103" i="4"/>
  <c r="H103" i="4" s="1"/>
  <c r="E103" i="4"/>
  <c r="G102" i="4"/>
  <c r="H102" i="4" s="1"/>
  <c r="E102" i="4"/>
  <c r="E101" i="4"/>
  <c r="E100" i="4"/>
  <c r="H100" i="4"/>
  <c r="C96" i="4"/>
  <c r="E87" i="4"/>
  <c r="G86" i="4"/>
  <c r="C86" i="4"/>
  <c r="G85" i="4"/>
  <c r="C85" i="4"/>
  <c r="H84" i="4"/>
  <c r="G84" i="4"/>
  <c r="E84" i="4"/>
  <c r="G83" i="4"/>
  <c r="H83" i="4" s="1"/>
  <c r="E83" i="4"/>
  <c r="E82" i="4"/>
  <c r="E81" i="4"/>
  <c r="C77" i="4"/>
  <c r="E69" i="4"/>
  <c r="G68" i="4"/>
  <c r="E68" i="4"/>
  <c r="C68" i="4"/>
  <c r="H68" i="4" s="1"/>
  <c r="G67" i="4"/>
  <c r="C67" i="4"/>
  <c r="H67" i="4" s="1"/>
  <c r="G66" i="4"/>
  <c r="C66" i="4"/>
  <c r="H66" i="4" s="1"/>
  <c r="G65" i="4"/>
  <c r="H65" i="4" s="1"/>
  <c r="E65" i="4"/>
  <c r="E64" i="4"/>
  <c r="E63" i="4"/>
  <c r="E51" i="4"/>
  <c r="H50" i="4"/>
  <c r="E50" i="4"/>
  <c r="C49" i="4"/>
  <c r="E49" i="4" s="1"/>
  <c r="C45" i="4"/>
  <c r="E35" i="4"/>
  <c r="E34" i="4"/>
  <c r="C32" i="4"/>
  <c r="E31" i="4"/>
  <c r="E32" i="4" s="1"/>
  <c r="E30" i="4"/>
  <c r="G27" i="4"/>
  <c r="C27" i="4"/>
  <c r="E27" i="4" s="1"/>
  <c r="C26" i="4"/>
  <c r="H26" i="4" s="1"/>
  <c r="C19" i="4"/>
  <c r="C21" i="4" s="1"/>
  <c r="A7" i="4"/>
  <c r="A8" i="4" s="1"/>
  <c r="A9" i="4" s="1"/>
  <c r="A10" i="4" s="1"/>
  <c r="A11" i="4" s="1"/>
  <c r="A12" i="4" s="1"/>
  <c r="A13" i="4" s="1"/>
  <c r="A14" i="4" s="1"/>
  <c r="A17" i="4" s="1"/>
  <c r="A18" i="4" s="1"/>
  <c r="A19" i="4" s="1"/>
  <c r="E52" i="4" l="1"/>
  <c r="H86" i="4"/>
  <c r="E90" i="4"/>
  <c r="E107" i="4"/>
  <c r="E88" i="4"/>
  <c r="H85" i="4"/>
  <c r="H106" i="4"/>
  <c r="H107" i="4" s="1"/>
  <c r="H82" i="4"/>
  <c r="H143" i="4"/>
  <c r="F121" i="4"/>
  <c r="H121" i="4"/>
  <c r="I121" i="4" s="1"/>
  <c r="F155" i="4"/>
  <c r="F160" i="4"/>
  <c r="H27" i="4"/>
  <c r="H28" i="4" s="1"/>
  <c r="F162" i="4"/>
  <c r="F158" i="4"/>
  <c r="A20" i="7"/>
  <c r="A21" i="7" s="1"/>
  <c r="A26" i="7" s="1"/>
  <c r="A27" i="7" s="1"/>
  <c r="A28" i="7" s="1"/>
  <c r="A30" i="7" s="1"/>
  <c r="A31" i="7" s="1"/>
  <c r="A32" i="7" s="1"/>
  <c r="A34" i="7" s="1"/>
  <c r="A35" i="7" s="1"/>
  <c r="A36" i="7" s="1"/>
  <c r="A37" i="7" s="1"/>
  <c r="E13" i="7"/>
  <c r="I31" i="7"/>
  <c r="H31" i="7"/>
  <c r="H35" i="7"/>
  <c r="H26" i="7"/>
  <c r="H28" i="7" s="1"/>
  <c r="I30" i="7"/>
  <c r="E52" i="7"/>
  <c r="H87" i="7"/>
  <c r="I121" i="7"/>
  <c r="I143" i="7"/>
  <c r="E26" i="7"/>
  <c r="H30" i="7"/>
  <c r="H32" i="7" s="1"/>
  <c r="E54" i="7"/>
  <c r="H49" i="7"/>
  <c r="E90" i="7"/>
  <c r="H88" i="7"/>
  <c r="E66" i="7"/>
  <c r="E70" i="7" s="1"/>
  <c r="E72" i="7" s="1"/>
  <c r="H69" i="7"/>
  <c r="H70" i="7" s="1"/>
  <c r="H106" i="7"/>
  <c r="H107" i="7" s="1"/>
  <c r="F156" i="7"/>
  <c r="I157" i="7"/>
  <c r="I159" i="7"/>
  <c r="F162" i="7"/>
  <c r="F134" i="7"/>
  <c r="F143" i="7" s="1"/>
  <c r="F161" i="7"/>
  <c r="D21" i="6"/>
  <c r="A20" i="6"/>
  <c r="A21" i="6" s="1"/>
  <c r="A26" i="6" s="1"/>
  <c r="A27" i="6" s="1"/>
  <c r="A28" i="6" s="1"/>
  <c r="A30" i="6" s="1"/>
  <c r="A31" i="6" s="1"/>
  <c r="A32" i="6" s="1"/>
  <c r="A34" i="6" s="1"/>
  <c r="A35" i="6" s="1"/>
  <c r="A36" i="6" s="1"/>
  <c r="A37" i="6" s="1"/>
  <c r="E13" i="6"/>
  <c r="E26" i="6"/>
  <c r="E28" i="6" s="1"/>
  <c r="C28" i="6"/>
  <c r="H30" i="6"/>
  <c r="G31" i="6"/>
  <c r="E36" i="6"/>
  <c r="E52" i="6"/>
  <c r="I121" i="6"/>
  <c r="I143" i="6"/>
  <c r="E54" i="6"/>
  <c r="H49" i="6"/>
  <c r="E90" i="6"/>
  <c r="E66" i="6"/>
  <c r="E70" i="6" s="1"/>
  <c r="E72" i="6" s="1"/>
  <c r="E100" i="6"/>
  <c r="E101" i="6"/>
  <c r="F156" i="6"/>
  <c r="I157" i="6"/>
  <c r="I159" i="6"/>
  <c r="F162" i="6"/>
  <c r="H87" i="6"/>
  <c r="H88" i="6" s="1"/>
  <c r="F134" i="6"/>
  <c r="F143" i="6" s="1"/>
  <c r="F161" i="6"/>
  <c r="D21" i="5"/>
  <c r="A20" i="5"/>
  <c r="A21" i="5" s="1"/>
  <c r="A26" i="5" s="1"/>
  <c r="A27" i="5" s="1"/>
  <c r="A28" i="5" s="1"/>
  <c r="A30" i="5" s="1"/>
  <c r="A31" i="5" s="1"/>
  <c r="A32" i="5" s="1"/>
  <c r="A34" i="5" s="1"/>
  <c r="A35" i="5" s="1"/>
  <c r="A36" i="5" s="1"/>
  <c r="A37" i="5" s="1"/>
  <c r="E13" i="5"/>
  <c r="E26" i="5"/>
  <c r="C28" i="5"/>
  <c r="H30" i="5"/>
  <c r="G31" i="5"/>
  <c r="E49" i="5"/>
  <c r="E90" i="5"/>
  <c r="I121" i="5"/>
  <c r="F143" i="5"/>
  <c r="I143" i="5"/>
  <c r="E66" i="5"/>
  <c r="E70" i="5" s="1"/>
  <c r="E72" i="5" s="1"/>
  <c r="E100" i="5"/>
  <c r="E101" i="5"/>
  <c r="F155" i="5"/>
  <c r="F158" i="5"/>
  <c r="F160" i="5"/>
  <c r="F162" i="5"/>
  <c r="H87" i="5"/>
  <c r="H88" i="5" s="1"/>
  <c r="E109" i="4"/>
  <c r="D21" i="4"/>
  <c r="A20" i="4"/>
  <c r="A21" i="4" s="1"/>
  <c r="A26" i="4" s="1"/>
  <c r="A27" i="4" s="1"/>
  <c r="A28" i="4" s="1"/>
  <c r="A30" i="4" s="1"/>
  <c r="A31" i="4" s="1"/>
  <c r="A32" i="4" s="1"/>
  <c r="A34" i="4" s="1"/>
  <c r="A35" i="4" s="1"/>
  <c r="A36" i="4" s="1"/>
  <c r="A37" i="4" s="1"/>
  <c r="E26" i="4"/>
  <c r="H34" i="4" s="1"/>
  <c r="C28" i="4"/>
  <c r="H30" i="4"/>
  <c r="G31" i="4"/>
  <c r="E36" i="4"/>
  <c r="E54" i="4"/>
  <c r="H49" i="4"/>
  <c r="I143" i="4"/>
  <c r="E66" i="4"/>
  <c r="F156" i="4"/>
  <c r="I157" i="4"/>
  <c r="I159" i="4"/>
  <c r="F134" i="4"/>
  <c r="F143" i="4" s="1"/>
  <c r="F161" i="4"/>
  <c r="C96" i="1"/>
  <c r="C100" i="1"/>
  <c r="E70" i="4" l="1"/>
  <c r="E72" i="4" s="1"/>
  <c r="H71" i="7"/>
  <c r="H72" i="7"/>
  <c r="C9" i="7"/>
  <c r="H108" i="7"/>
  <c r="H109" i="7"/>
  <c r="C11" i="7"/>
  <c r="H90" i="7"/>
  <c r="H89" i="7"/>
  <c r="C10" i="7"/>
  <c r="I148" i="7"/>
  <c r="I146" i="7"/>
  <c r="H146" i="7" s="1"/>
  <c r="I127" i="7"/>
  <c r="I125" i="7"/>
  <c r="H125" i="7" s="1"/>
  <c r="H37" i="7"/>
  <c r="D21" i="7"/>
  <c r="H34" i="7"/>
  <c r="H36" i="7" s="1"/>
  <c r="E28" i="7"/>
  <c r="E37" i="7" s="1"/>
  <c r="E39" i="7" s="1"/>
  <c r="H51" i="7"/>
  <c r="H52" i="7" s="1"/>
  <c r="A38" i="7"/>
  <c r="A39" i="7" s="1"/>
  <c r="A43" i="7" s="1"/>
  <c r="A44" i="7" s="1"/>
  <c r="A45" i="7" s="1"/>
  <c r="A49" i="7" s="1"/>
  <c r="A50" i="7" s="1"/>
  <c r="A51" i="7" s="1"/>
  <c r="A52" i="7" s="1"/>
  <c r="D7" i="7"/>
  <c r="H90" i="6"/>
  <c r="H89" i="6"/>
  <c r="C10" i="6"/>
  <c r="E107" i="6"/>
  <c r="E109" i="6" s="1"/>
  <c r="I148" i="6"/>
  <c r="I146" i="6"/>
  <c r="H146" i="6" s="1"/>
  <c r="I127" i="6"/>
  <c r="I125" i="6"/>
  <c r="H125" i="6" s="1"/>
  <c r="H106" i="6"/>
  <c r="H107" i="6" s="1"/>
  <c r="H69" i="6"/>
  <c r="H70" i="6" s="1"/>
  <c r="H31" i="6"/>
  <c r="H35" i="6" s="1"/>
  <c r="I31" i="6"/>
  <c r="H51" i="6"/>
  <c r="H52" i="6" s="1"/>
  <c r="H34" i="6"/>
  <c r="A38" i="6"/>
  <c r="A39" i="6" s="1"/>
  <c r="A43" i="6" s="1"/>
  <c r="A44" i="6" s="1"/>
  <c r="A45" i="6" s="1"/>
  <c r="A49" i="6" s="1"/>
  <c r="A50" i="6" s="1"/>
  <c r="A51" i="6" s="1"/>
  <c r="A52" i="6" s="1"/>
  <c r="D7" i="6"/>
  <c r="H32" i="6"/>
  <c r="E37" i="6"/>
  <c r="E39" i="6" s="1"/>
  <c r="H90" i="5"/>
  <c r="H89" i="5"/>
  <c r="C10" i="5"/>
  <c r="E52" i="5"/>
  <c r="E54" i="5" s="1"/>
  <c r="H51" i="5"/>
  <c r="H52" i="5" s="1"/>
  <c r="H34" i="5"/>
  <c r="H36" i="5" s="1"/>
  <c r="E28" i="5"/>
  <c r="E37" i="5" s="1"/>
  <c r="E39" i="5" s="1"/>
  <c r="E107" i="5"/>
  <c r="E109" i="5" s="1"/>
  <c r="I146" i="5"/>
  <c r="H146" i="5" s="1"/>
  <c r="H69" i="5"/>
  <c r="H70" i="5" s="1"/>
  <c r="I127" i="5"/>
  <c r="I125" i="5"/>
  <c r="H125" i="5" s="1"/>
  <c r="H106" i="5"/>
  <c r="H107" i="5" s="1"/>
  <c r="H31" i="5"/>
  <c r="H35" i="5" s="1"/>
  <c r="I31" i="5"/>
  <c r="A38" i="5"/>
  <c r="A39" i="5" s="1"/>
  <c r="A43" i="5" s="1"/>
  <c r="A44" i="5" s="1"/>
  <c r="A45" i="5" s="1"/>
  <c r="A49" i="5" s="1"/>
  <c r="A50" i="5" s="1"/>
  <c r="A51" i="5" s="1"/>
  <c r="A52" i="5" s="1"/>
  <c r="D7" i="5"/>
  <c r="H32" i="5"/>
  <c r="H108" i="4"/>
  <c r="H109" i="4"/>
  <c r="C11" i="4"/>
  <c r="I146" i="4"/>
  <c r="H146" i="4" s="1"/>
  <c r="I125" i="4"/>
  <c r="H125" i="4" s="1"/>
  <c r="E28" i="4"/>
  <c r="E37" i="4" s="1"/>
  <c r="E39" i="4" s="1"/>
  <c r="H51" i="4"/>
  <c r="H52" i="4" s="1"/>
  <c r="H31" i="4"/>
  <c r="H35" i="4" s="1"/>
  <c r="H36" i="4" s="1"/>
  <c r="D7" i="4"/>
  <c r="A38" i="4"/>
  <c r="A39" i="4" s="1"/>
  <c r="A43" i="4" s="1"/>
  <c r="A44" i="4" s="1"/>
  <c r="A45" i="4" s="1"/>
  <c r="A49" i="4" s="1"/>
  <c r="A50" i="4" s="1"/>
  <c r="A51" i="4" s="1"/>
  <c r="A52" i="4" s="1"/>
  <c r="C101" i="1"/>
  <c r="I31" i="1"/>
  <c r="I30" i="1"/>
  <c r="I27" i="1"/>
  <c r="I26" i="1"/>
  <c r="I50" i="1"/>
  <c r="I49" i="1"/>
  <c r="I63" i="1"/>
  <c r="I64" i="1"/>
  <c r="I127" i="1"/>
  <c r="C45" i="1"/>
  <c r="C21" i="1"/>
  <c r="C7" i="1"/>
  <c r="H35" i="1"/>
  <c r="H34" i="1"/>
  <c r="G30" i="1"/>
  <c r="J155" i="1"/>
  <c r="J156" i="1"/>
  <c r="J157" i="1"/>
  <c r="J158" i="1"/>
  <c r="J159" i="1"/>
  <c r="J160" i="1"/>
  <c r="J162" i="1"/>
  <c r="J154" i="1"/>
  <c r="H161" i="1"/>
  <c r="H154" i="1"/>
  <c r="F164" i="1"/>
  <c r="F154" i="1"/>
  <c r="F134" i="1"/>
  <c r="E106" i="1"/>
  <c r="E87" i="1"/>
  <c r="C67" i="1"/>
  <c r="E37" i="1"/>
  <c r="E35" i="1"/>
  <c r="E34" i="1"/>
  <c r="E51" i="1"/>
  <c r="E69" i="1"/>
  <c r="E68" i="1"/>
  <c r="C49" i="1"/>
  <c r="C27" i="1"/>
  <c r="C26" i="1"/>
  <c r="I148" i="4" l="1"/>
  <c r="I127" i="4"/>
  <c r="H54" i="7"/>
  <c r="H53" i="7"/>
  <c r="C8" i="7"/>
  <c r="D125" i="7"/>
  <c r="H127" i="7"/>
  <c r="D146" i="7"/>
  <c r="F146" i="7" s="1"/>
  <c r="F148" i="7" s="1"/>
  <c r="H148" i="7"/>
  <c r="A53" i="7"/>
  <c r="D8" i="7"/>
  <c r="H39" i="7"/>
  <c r="H38" i="7"/>
  <c r="C7" i="7"/>
  <c r="H53" i="6"/>
  <c r="H54" i="6"/>
  <c r="C8" i="6"/>
  <c r="H108" i="6"/>
  <c r="H109" i="6"/>
  <c r="C11" i="6"/>
  <c r="H36" i="6"/>
  <c r="H37" i="6" s="1"/>
  <c r="H71" i="6"/>
  <c r="H72" i="6"/>
  <c r="C9" i="6"/>
  <c r="D125" i="6"/>
  <c r="H127" i="6"/>
  <c r="D146" i="6"/>
  <c r="F146" i="6" s="1"/>
  <c r="F148" i="6" s="1"/>
  <c r="H148" i="6"/>
  <c r="A53" i="6"/>
  <c r="D8" i="6"/>
  <c r="H37" i="5"/>
  <c r="A53" i="5"/>
  <c r="D8" i="5"/>
  <c r="D125" i="5"/>
  <c r="H127" i="5"/>
  <c r="H71" i="5"/>
  <c r="H72" i="5"/>
  <c r="C9" i="5"/>
  <c r="I148" i="5"/>
  <c r="H54" i="5"/>
  <c r="C8" i="5"/>
  <c r="H53" i="5"/>
  <c r="H108" i="5"/>
  <c r="H109" i="5"/>
  <c r="C11" i="5"/>
  <c r="D146" i="5"/>
  <c r="F146" i="5" s="1"/>
  <c r="F148" i="5" s="1"/>
  <c r="H148" i="5"/>
  <c r="H53" i="4"/>
  <c r="C8" i="4"/>
  <c r="H54" i="4"/>
  <c r="A53" i="4"/>
  <c r="D8" i="4"/>
  <c r="H32" i="4"/>
  <c r="H37" i="4" s="1"/>
  <c r="C7" i="4" s="1"/>
  <c r="D125" i="4"/>
  <c r="H127" i="4"/>
  <c r="D146" i="4"/>
  <c r="F146" i="4" s="1"/>
  <c r="F148" i="4" s="1"/>
  <c r="H148" i="4"/>
  <c r="H26" i="1"/>
  <c r="H81" i="4" l="1"/>
  <c r="H64" i="4"/>
  <c r="H63" i="4"/>
  <c r="D154" i="4"/>
  <c r="A54" i="7"/>
  <c r="A57" i="7"/>
  <c r="A58" i="7" s="1"/>
  <c r="A59" i="7" s="1"/>
  <c r="A63" i="7" s="1"/>
  <c r="A64" i="7" s="1"/>
  <c r="A65" i="7" s="1"/>
  <c r="A66" i="7" s="1"/>
  <c r="A67" i="7" s="1"/>
  <c r="A68" i="7" s="1"/>
  <c r="A69" i="7" s="1"/>
  <c r="A70" i="7" s="1"/>
  <c r="D154" i="7"/>
  <c r="F125" i="7"/>
  <c r="F127" i="7" s="1"/>
  <c r="H39" i="6"/>
  <c r="H38" i="6"/>
  <c r="C7" i="6"/>
  <c r="A57" i="6"/>
  <c r="A58" i="6" s="1"/>
  <c r="A59" i="6" s="1"/>
  <c r="A63" i="6" s="1"/>
  <c r="A64" i="6" s="1"/>
  <c r="A65" i="6" s="1"/>
  <c r="A66" i="6" s="1"/>
  <c r="A67" i="6" s="1"/>
  <c r="A68" i="6" s="1"/>
  <c r="A69" i="6" s="1"/>
  <c r="A70" i="6" s="1"/>
  <c r="A54" i="6"/>
  <c r="D154" i="6"/>
  <c r="F125" i="6"/>
  <c r="F127" i="6" s="1"/>
  <c r="H39" i="5"/>
  <c r="H38" i="5"/>
  <c r="C7" i="5"/>
  <c r="D154" i="5"/>
  <c r="F125" i="5"/>
  <c r="F127" i="5" s="1"/>
  <c r="A57" i="5"/>
  <c r="A58" i="5" s="1"/>
  <c r="A59" i="5" s="1"/>
  <c r="A63" i="5" s="1"/>
  <c r="A64" i="5" s="1"/>
  <c r="A65" i="5" s="1"/>
  <c r="A66" i="5" s="1"/>
  <c r="A67" i="5" s="1"/>
  <c r="A68" i="5" s="1"/>
  <c r="A69" i="5" s="1"/>
  <c r="A70" i="5" s="1"/>
  <c r="A54" i="5"/>
  <c r="F125" i="4"/>
  <c r="F127" i="4" s="1"/>
  <c r="H38" i="4"/>
  <c r="H39" i="4"/>
  <c r="A57" i="4"/>
  <c r="A58" i="4" s="1"/>
  <c r="A59" i="4" s="1"/>
  <c r="A63" i="4" s="1"/>
  <c r="A64" i="4" s="1"/>
  <c r="A65" i="4" s="1"/>
  <c r="A66" i="4" s="1"/>
  <c r="A67" i="4" s="1"/>
  <c r="A68" i="4" s="1"/>
  <c r="A69" i="4" s="1"/>
  <c r="A70" i="4" s="1"/>
  <c r="A54" i="4"/>
  <c r="H102" i="1"/>
  <c r="H103" i="1"/>
  <c r="E156" i="1"/>
  <c r="H69" i="4" l="1"/>
  <c r="H70" i="4" s="1"/>
  <c r="A71" i="7"/>
  <c r="D9" i="7"/>
  <c r="I154" i="7"/>
  <c r="I163" i="7" s="1"/>
  <c r="F154" i="7"/>
  <c r="F163" i="7" s="1"/>
  <c r="F164" i="7" s="1"/>
  <c r="I154" i="6"/>
  <c r="I163" i="6" s="1"/>
  <c r="F154" i="6"/>
  <c r="F163" i="6" s="1"/>
  <c r="F164" i="6" s="1"/>
  <c r="A71" i="6"/>
  <c r="D9" i="6"/>
  <c r="A71" i="5"/>
  <c r="D9" i="5"/>
  <c r="I154" i="5"/>
  <c r="I163" i="5" s="1"/>
  <c r="F154" i="5"/>
  <c r="F163" i="5" s="1"/>
  <c r="F164" i="5" s="1"/>
  <c r="A71" i="4"/>
  <c r="D9" i="4"/>
  <c r="I154" i="4"/>
  <c r="I163" i="4" s="1"/>
  <c r="F154" i="4"/>
  <c r="F163" i="4" s="1"/>
  <c r="F164" i="4" s="1"/>
  <c r="G102" i="1"/>
  <c r="H71" i="4" l="1"/>
  <c r="H72" i="4"/>
  <c r="C9" i="4"/>
  <c r="I165" i="4"/>
  <c r="I165" i="7"/>
  <c r="I164" i="7"/>
  <c r="C12" i="7"/>
  <c r="C13" i="7" s="1"/>
  <c r="C14" i="7" s="1"/>
  <c r="A75" i="7"/>
  <c r="A76" i="7" s="1"/>
  <c r="A77" i="7" s="1"/>
  <c r="A81" i="7" s="1"/>
  <c r="A82" i="7" s="1"/>
  <c r="A83" i="7" s="1"/>
  <c r="A84" i="7" s="1"/>
  <c r="A85" i="7" s="1"/>
  <c r="A86" i="7" s="1"/>
  <c r="A87" i="7" s="1"/>
  <c r="A88" i="7" s="1"/>
  <c r="A72" i="7"/>
  <c r="A75" i="6"/>
  <c r="A76" i="6" s="1"/>
  <c r="A77" i="6" s="1"/>
  <c r="A81" i="6" s="1"/>
  <c r="A82" i="6" s="1"/>
  <c r="A83" i="6" s="1"/>
  <c r="A84" i="6" s="1"/>
  <c r="A85" i="6" s="1"/>
  <c r="A86" i="6" s="1"/>
  <c r="A87" i="6" s="1"/>
  <c r="A88" i="6" s="1"/>
  <c r="A72" i="6"/>
  <c r="I165" i="6"/>
  <c r="I164" i="6"/>
  <c r="C12" i="6"/>
  <c r="C13" i="6" s="1"/>
  <c r="C14" i="6" s="1"/>
  <c r="I165" i="5"/>
  <c r="I164" i="5"/>
  <c r="C12" i="5"/>
  <c r="C13" i="5" s="1"/>
  <c r="C14" i="5" s="1"/>
  <c r="A75" i="5"/>
  <c r="A76" i="5" s="1"/>
  <c r="A77" i="5" s="1"/>
  <c r="A81" i="5" s="1"/>
  <c r="A82" i="5" s="1"/>
  <c r="A83" i="5" s="1"/>
  <c r="A84" i="5" s="1"/>
  <c r="A85" i="5" s="1"/>
  <c r="A86" i="5" s="1"/>
  <c r="A87" i="5" s="1"/>
  <c r="A88" i="5" s="1"/>
  <c r="A72" i="5"/>
  <c r="I164" i="4"/>
  <c r="C12" i="4"/>
  <c r="A75" i="4"/>
  <c r="A76" i="4" s="1"/>
  <c r="A77" i="4" s="1"/>
  <c r="A81" i="4" s="1"/>
  <c r="A82" i="4" s="1"/>
  <c r="A83" i="4" s="1"/>
  <c r="A84" i="4" s="1"/>
  <c r="A85" i="4" s="1"/>
  <c r="A86" i="4" s="1"/>
  <c r="A87" i="4" s="1"/>
  <c r="A88" i="4" s="1"/>
  <c r="A72" i="4"/>
  <c r="D159" i="1"/>
  <c r="D162" i="1"/>
  <c r="D161" i="1"/>
  <c r="D160" i="1"/>
  <c r="D158" i="1"/>
  <c r="D157" i="1"/>
  <c r="I157" i="1" s="1"/>
  <c r="D155" i="1"/>
  <c r="D156" i="1"/>
  <c r="F156" i="1"/>
  <c r="D143" i="1"/>
  <c r="H142" i="1"/>
  <c r="E142" i="1"/>
  <c r="F142" i="1" s="1"/>
  <c r="H141" i="1"/>
  <c r="E141" i="1"/>
  <c r="F141" i="1" s="1"/>
  <c r="H140" i="1"/>
  <c r="F140" i="1"/>
  <c r="H139" i="1"/>
  <c r="E139" i="1"/>
  <c r="F139" i="1" s="1"/>
  <c r="H138" i="1"/>
  <c r="F138" i="1"/>
  <c r="E138" i="1"/>
  <c r="H137" i="1"/>
  <c r="E137" i="1"/>
  <c r="F137" i="1" s="1"/>
  <c r="H136" i="1"/>
  <c r="F136" i="1"/>
  <c r="H135" i="1"/>
  <c r="F135" i="1"/>
  <c r="E135" i="1"/>
  <c r="H134" i="1"/>
  <c r="H143" i="1" s="1"/>
  <c r="E134" i="1"/>
  <c r="E146" i="1" s="1"/>
  <c r="D121" i="1"/>
  <c r="H120" i="1"/>
  <c r="F120" i="1"/>
  <c r="H119" i="1"/>
  <c r="F119" i="1"/>
  <c r="H118" i="1"/>
  <c r="F118" i="1"/>
  <c r="H117" i="1"/>
  <c r="F117" i="1"/>
  <c r="H116" i="1"/>
  <c r="F116" i="1"/>
  <c r="H115" i="1"/>
  <c r="F115" i="1"/>
  <c r="H114" i="1"/>
  <c r="H121" i="1" s="1"/>
  <c r="E125" i="1"/>
  <c r="C105" i="1"/>
  <c r="H105" i="1" s="1"/>
  <c r="H101" i="1"/>
  <c r="H100" i="1"/>
  <c r="C85" i="1"/>
  <c r="H85" i="1" s="1"/>
  <c r="C86" i="1"/>
  <c r="H86" i="1" s="1"/>
  <c r="E83" i="1"/>
  <c r="C68" i="1"/>
  <c r="H68" i="1" s="1"/>
  <c r="H67" i="1"/>
  <c r="C66" i="1"/>
  <c r="H66" i="1" s="1"/>
  <c r="H65" i="1"/>
  <c r="H64" i="1"/>
  <c r="H63" i="1"/>
  <c r="E50" i="1"/>
  <c r="A89" i="7" l="1"/>
  <c r="A90" i="7" s="1"/>
  <c r="A94" i="7" s="1"/>
  <c r="A95" i="7" s="1"/>
  <c r="A96" i="7" s="1"/>
  <c r="A100" i="7" s="1"/>
  <c r="A101" i="7" s="1"/>
  <c r="A102" i="7" s="1"/>
  <c r="A103" i="7" s="1"/>
  <c r="A104" i="7" s="1"/>
  <c r="A105" i="7" s="1"/>
  <c r="A106" i="7" s="1"/>
  <c r="A107" i="7" s="1"/>
  <c r="D10" i="7"/>
  <c r="A89" i="6"/>
  <c r="A90" i="6" s="1"/>
  <c r="A94" i="6" s="1"/>
  <c r="A95" i="6" s="1"/>
  <c r="A96" i="6" s="1"/>
  <c r="A100" i="6" s="1"/>
  <c r="A101" i="6" s="1"/>
  <c r="A102" i="6" s="1"/>
  <c r="A103" i="6" s="1"/>
  <c r="A104" i="6" s="1"/>
  <c r="A105" i="6" s="1"/>
  <c r="A106" i="6" s="1"/>
  <c r="A107" i="6" s="1"/>
  <c r="D10" i="6"/>
  <c r="A89" i="5"/>
  <c r="A90" i="5" s="1"/>
  <c r="A94" i="5" s="1"/>
  <c r="A95" i="5" s="1"/>
  <c r="A96" i="5" s="1"/>
  <c r="A100" i="5" s="1"/>
  <c r="A101" i="5" s="1"/>
  <c r="A102" i="5" s="1"/>
  <c r="A103" i="5" s="1"/>
  <c r="A104" i="5" s="1"/>
  <c r="A105" i="5" s="1"/>
  <c r="A106" i="5" s="1"/>
  <c r="A107" i="5" s="1"/>
  <c r="D10" i="5"/>
  <c r="A89" i="4"/>
  <c r="A90" i="4" s="1"/>
  <c r="A94" i="4" s="1"/>
  <c r="A95" i="4" s="1"/>
  <c r="A96" i="4" s="1"/>
  <c r="A100" i="4" s="1"/>
  <c r="A101" i="4" s="1"/>
  <c r="A102" i="4" s="1"/>
  <c r="A103" i="4" s="1"/>
  <c r="A104" i="4" s="1"/>
  <c r="A105" i="4" s="1"/>
  <c r="A106" i="4" s="1"/>
  <c r="A107" i="4" s="1"/>
  <c r="D10" i="4"/>
  <c r="I143" i="1"/>
  <c r="F143" i="1"/>
  <c r="I121" i="1"/>
  <c r="F114" i="1"/>
  <c r="F121" i="1" s="1"/>
  <c r="F127" i="1" s="1"/>
  <c r="C28" i="1"/>
  <c r="A108" i="7" l="1"/>
  <c r="A109" i="7" s="1"/>
  <c r="A114" i="7" s="1"/>
  <c r="A115" i="7" s="1"/>
  <c r="A116" i="7" s="1"/>
  <c r="A117" i="7" s="1"/>
  <c r="A118" i="7" s="1"/>
  <c r="A119" i="7" s="1"/>
  <c r="A120" i="7" s="1"/>
  <c r="A121" i="7" s="1"/>
  <c r="A124" i="7" s="1"/>
  <c r="A125" i="7" s="1"/>
  <c r="A127" i="7" s="1"/>
  <c r="A129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5" i="7" s="1"/>
  <c r="A146" i="7" s="1"/>
  <c r="A148" i="7" s="1"/>
  <c r="A150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D11" i="7"/>
  <c r="A108" i="6"/>
  <c r="A109" i="6" s="1"/>
  <c r="A114" i="6" s="1"/>
  <c r="A115" i="6" s="1"/>
  <c r="A116" i="6" s="1"/>
  <c r="A117" i="6" s="1"/>
  <c r="A118" i="6" s="1"/>
  <c r="A119" i="6" s="1"/>
  <c r="A120" i="6" s="1"/>
  <c r="A121" i="6" s="1"/>
  <c r="A124" i="6" s="1"/>
  <c r="A125" i="6" s="1"/>
  <c r="A127" i="6" s="1"/>
  <c r="A129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5" i="6" s="1"/>
  <c r="A146" i="6" s="1"/>
  <c r="A148" i="6" s="1"/>
  <c r="A150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D11" i="6"/>
  <c r="A108" i="5"/>
  <c r="A109" i="5" s="1"/>
  <c r="A114" i="5" s="1"/>
  <c r="A115" i="5" s="1"/>
  <c r="A116" i="5" s="1"/>
  <c r="A117" i="5" s="1"/>
  <c r="A118" i="5" s="1"/>
  <c r="A119" i="5" s="1"/>
  <c r="A120" i="5" s="1"/>
  <c r="A121" i="5" s="1"/>
  <c r="A124" i="5" s="1"/>
  <c r="A125" i="5" s="1"/>
  <c r="A127" i="5" s="1"/>
  <c r="A129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5" i="5" s="1"/>
  <c r="A146" i="5" s="1"/>
  <c r="A148" i="5" s="1"/>
  <c r="A150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D11" i="5"/>
  <c r="A108" i="4"/>
  <c r="A109" i="4" s="1"/>
  <c r="A114" i="4" s="1"/>
  <c r="A115" i="4" s="1"/>
  <c r="A116" i="4" s="1"/>
  <c r="A117" i="4" s="1"/>
  <c r="A118" i="4" s="1"/>
  <c r="A119" i="4" s="1"/>
  <c r="A120" i="4" s="1"/>
  <c r="A121" i="4" s="1"/>
  <c r="A124" i="4" s="1"/>
  <c r="A125" i="4" s="1"/>
  <c r="A127" i="4" s="1"/>
  <c r="A129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5" i="4" s="1"/>
  <c r="A146" i="4" s="1"/>
  <c r="A148" i="4" s="1"/>
  <c r="A150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D11" i="4"/>
  <c r="I146" i="1"/>
  <c r="H146" i="1" s="1"/>
  <c r="I125" i="1"/>
  <c r="H125" i="1" s="1"/>
  <c r="A4" i="1"/>
  <c r="A164" i="7" l="1"/>
  <c r="D12" i="7"/>
  <c r="A164" i="6"/>
  <c r="D12" i="6"/>
  <c r="A164" i="5"/>
  <c r="D12" i="5"/>
  <c r="D12" i="4"/>
  <c r="I148" i="1"/>
  <c r="D146" i="1"/>
  <c r="F146" i="1" s="1"/>
  <c r="F148" i="1" s="1"/>
  <c r="H148" i="1"/>
  <c r="D125" i="1"/>
  <c r="H127" i="1"/>
  <c r="A157" i="1"/>
  <c r="A158" i="1" s="1"/>
  <c r="A159" i="1" s="1"/>
  <c r="A160" i="1" s="1"/>
  <c r="A161" i="1" s="1"/>
  <c r="A162" i="1" s="1"/>
  <c r="A163" i="1" s="1"/>
  <c r="A156" i="1"/>
  <c r="A155" i="1"/>
  <c r="A154" i="1"/>
  <c r="A150" i="1"/>
  <c r="A148" i="1"/>
  <c r="A146" i="1"/>
  <c r="A145" i="1"/>
  <c r="A143" i="1"/>
  <c r="A137" i="1"/>
  <c r="A138" i="1" s="1"/>
  <c r="A139" i="1" s="1"/>
  <c r="A140" i="1" s="1"/>
  <c r="A141" i="1" s="1"/>
  <c r="A142" i="1" s="1"/>
  <c r="A136" i="1"/>
  <c r="A135" i="1"/>
  <c r="A134" i="1"/>
  <c r="A129" i="1"/>
  <c r="A127" i="1"/>
  <c r="A125" i="1"/>
  <c r="A124" i="1"/>
  <c r="A121" i="1"/>
  <c r="A120" i="1"/>
  <c r="A119" i="1"/>
  <c r="A118" i="1"/>
  <c r="A117" i="1"/>
  <c r="A116" i="1"/>
  <c r="A115" i="1"/>
  <c r="A114" i="1"/>
  <c r="F162" i="1"/>
  <c r="I161" i="1"/>
  <c r="I160" i="1"/>
  <c r="I159" i="1"/>
  <c r="I158" i="1"/>
  <c r="I156" i="1"/>
  <c r="I155" i="1"/>
  <c r="D154" i="1" l="1"/>
  <c r="F125" i="1"/>
  <c r="F159" i="1"/>
  <c r="F155" i="1"/>
  <c r="F157" i="1"/>
  <c r="F161" i="1"/>
  <c r="I162" i="1"/>
  <c r="F158" i="1"/>
  <c r="F160" i="1"/>
  <c r="F163" i="1" s="1"/>
  <c r="A164" i="1"/>
  <c r="D12" i="1"/>
  <c r="G105" i="1"/>
  <c r="G104" i="1"/>
  <c r="H104" i="1" s="1"/>
  <c r="E104" i="1"/>
  <c r="G103" i="1"/>
  <c r="E103" i="1"/>
  <c r="E102" i="1"/>
  <c r="E101" i="1"/>
  <c r="E100" i="1"/>
  <c r="H82" i="1"/>
  <c r="H81" i="1"/>
  <c r="G86" i="1"/>
  <c r="G85" i="1"/>
  <c r="G84" i="1"/>
  <c r="H84" i="1" s="1"/>
  <c r="E84" i="1"/>
  <c r="H83" i="1"/>
  <c r="G83" i="1"/>
  <c r="E82" i="1"/>
  <c r="E81" i="1"/>
  <c r="C77" i="1"/>
  <c r="E90" i="1" s="1"/>
  <c r="G65" i="1"/>
  <c r="G67" i="1"/>
  <c r="G66" i="1"/>
  <c r="G68" i="1"/>
  <c r="C59" i="1"/>
  <c r="E13" i="1" s="1"/>
  <c r="E66" i="1"/>
  <c r="E70" i="1" s="1"/>
  <c r="E64" i="1"/>
  <c r="E65" i="1"/>
  <c r="E63" i="1"/>
  <c r="E107" i="1" l="1"/>
  <c r="E109" i="1" s="1"/>
  <c r="E72" i="1"/>
  <c r="I154" i="1"/>
  <c r="I163" i="1" s="1"/>
  <c r="I165" i="1" s="1"/>
  <c r="H106" i="1"/>
  <c r="H107" i="1" s="1"/>
  <c r="H69" i="1"/>
  <c r="H70" i="1" s="1"/>
  <c r="E88" i="1"/>
  <c r="H87" i="1"/>
  <c r="H88" i="1" s="1"/>
  <c r="H50" i="1"/>
  <c r="H49" i="1"/>
  <c r="E49" i="1"/>
  <c r="H30" i="1"/>
  <c r="E31" i="1"/>
  <c r="E30" i="1"/>
  <c r="E27" i="1"/>
  <c r="E26" i="1"/>
  <c r="G31" i="1"/>
  <c r="H31" i="1" s="1"/>
  <c r="G27" i="1"/>
  <c r="H27" i="1" s="1"/>
  <c r="E36" i="1"/>
  <c r="C32" i="1"/>
  <c r="A7" i="1"/>
  <c r="A8" i="1" s="1"/>
  <c r="A9" i="1" s="1"/>
  <c r="A10" i="1" s="1"/>
  <c r="A11" i="1" s="1"/>
  <c r="A12" i="1" s="1"/>
  <c r="A13" i="1" s="1"/>
  <c r="A14" i="1" s="1"/>
  <c r="A17" i="1" s="1"/>
  <c r="A18" i="1" s="1"/>
  <c r="A19" i="1" s="1"/>
  <c r="C19" i="1"/>
  <c r="H109" i="1" l="1"/>
  <c r="C11" i="1"/>
  <c r="I164" i="1"/>
  <c r="H108" i="1"/>
  <c r="H71" i="1"/>
  <c r="H72" i="1"/>
  <c r="C12" i="1"/>
  <c r="H90" i="1"/>
  <c r="C10" i="1"/>
  <c r="H89" i="1"/>
  <c r="C9" i="1"/>
  <c r="E52" i="1"/>
  <c r="E54" i="1" s="1"/>
  <c r="E32" i="1"/>
  <c r="E28" i="1"/>
  <c r="H51" i="1"/>
  <c r="H52" i="1" s="1"/>
  <c r="H54" i="1" s="1"/>
  <c r="H32" i="1"/>
  <c r="H28" i="1"/>
  <c r="A20" i="1"/>
  <c r="A21" i="1" s="1"/>
  <c r="A26" i="1" s="1"/>
  <c r="A27" i="1" s="1"/>
  <c r="A28" i="1" s="1"/>
  <c r="A30" i="1" s="1"/>
  <c r="A31" i="1" s="1"/>
  <c r="A32" i="1" s="1"/>
  <c r="A34" i="1" s="1"/>
  <c r="A35" i="1" s="1"/>
  <c r="A36" i="1" s="1"/>
  <c r="A37" i="1" s="1"/>
  <c r="A38" i="1" l="1"/>
  <c r="A39" i="1" s="1"/>
  <c r="A43" i="1" s="1"/>
  <c r="A44" i="1" s="1"/>
  <c r="A45" i="1" s="1"/>
  <c r="A49" i="1" s="1"/>
  <c r="A50" i="1" s="1"/>
  <c r="A51" i="1" s="1"/>
  <c r="A52" i="1" s="1"/>
  <c r="D7" i="1"/>
  <c r="H53" i="1"/>
  <c r="C8" i="1"/>
  <c r="C13" i="1" s="1"/>
  <c r="E39" i="1"/>
  <c r="H36" i="1"/>
  <c r="H37" i="1" s="1"/>
  <c r="D21" i="1"/>
  <c r="C14" i="1" l="1"/>
  <c r="H38" i="1"/>
  <c r="H39" i="1"/>
  <c r="D8" i="1"/>
  <c r="A53" i="1"/>
  <c r="A57" i="1" l="1"/>
  <c r="A58" i="1" s="1"/>
  <c r="A59" i="1" s="1"/>
  <c r="A63" i="1" s="1"/>
  <c r="A64" i="1" s="1"/>
  <c r="A65" i="1" s="1"/>
  <c r="A66" i="1" s="1"/>
  <c r="A67" i="1" s="1"/>
  <c r="A68" i="1" s="1"/>
  <c r="A69" i="1" s="1"/>
  <c r="A70" i="1" s="1"/>
  <c r="A54" i="1"/>
  <c r="D9" i="1" l="1"/>
  <c r="A71" i="1"/>
  <c r="A72" i="1" l="1"/>
  <c r="A75" i="1"/>
  <c r="A76" i="1" s="1"/>
  <c r="A77" i="1" s="1"/>
  <c r="A81" i="1" s="1"/>
  <c r="A82" i="1" s="1"/>
  <c r="A83" i="1" s="1"/>
  <c r="A84" i="1" s="1"/>
  <c r="A85" i="1" s="1"/>
  <c r="A86" i="1" s="1"/>
  <c r="A87" i="1" s="1"/>
  <c r="A88" i="1" s="1"/>
  <c r="A89" i="1" l="1"/>
  <c r="A90" i="1" s="1"/>
  <c r="A94" i="1" s="1"/>
  <c r="A95" i="1" s="1"/>
  <c r="A96" i="1" s="1"/>
  <c r="A100" i="1" s="1"/>
  <c r="A101" i="1" s="1"/>
  <c r="A102" i="1" s="1"/>
  <c r="A103" i="1" s="1"/>
  <c r="A104" i="1" s="1"/>
  <c r="A105" i="1" s="1"/>
  <c r="A106" i="1" s="1"/>
  <c r="A107" i="1" s="1"/>
  <c r="D10" i="1"/>
  <c r="A108" i="1" l="1"/>
  <c r="A109" i="1" s="1"/>
  <c r="D11" i="1"/>
  <c r="H87" i="4" l="1"/>
  <c r="H88" i="4" s="1"/>
  <c r="H90" i="4" l="1"/>
  <c r="C10" i="4"/>
  <c r="C13" i="4" s="1"/>
  <c r="C14" i="4" s="1"/>
  <c r="C78" i="4" s="1"/>
  <c r="H89" i="4"/>
</calcChain>
</file>

<file path=xl/sharedStrings.xml><?xml version="1.0" encoding="utf-8"?>
<sst xmlns="http://schemas.openxmlformats.org/spreadsheetml/2006/main" count="1018" uniqueCount="125">
  <si>
    <t>Labrador Interconnected Rates</t>
  </si>
  <si>
    <t>Source</t>
  </si>
  <si>
    <t>Line No</t>
  </si>
  <si>
    <t>Total Rural  revenue requirement</t>
  </si>
  <si>
    <t>Newfoundland and Labrador Hydro</t>
  </si>
  <si>
    <t>Domestic</t>
  </si>
  <si>
    <t>2.1 General Service</t>
  </si>
  <si>
    <t>2.2 General Service</t>
  </si>
  <si>
    <t>2.3 General Service</t>
  </si>
  <si>
    <t>2.4 General Service</t>
  </si>
  <si>
    <t>Streetlights</t>
  </si>
  <si>
    <t xml:space="preserve">Total </t>
  </si>
  <si>
    <t>Variance</t>
  </si>
  <si>
    <t xml:space="preserve">1.1 Revenue requirement </t>
  </si>
  <si>
    <t xml:space="preserve">1.1A Revenue requirement </t>
  </si>
  <si>
    <t>Target Recovery</t>
  </si>
  <si>
    <t>Target Recovery Amount</t>
  </si>
  <si>
    <t>COS. Such 1.2. page 6 of 6, Line 6</t>
  </si>
  <si>
    <t>COS. Such 1.2. page 6 of 6, Line 7</t>
  </si>
  <si>
    <t xml:space="preserve"> Quantity </t>
  </si>
  <si>
    <t xml:space="preserve"> Rate </t>
  </si>
  <si>
    <t xml:space="preserve"> Revenue </t>
  </si>
  <si>
    <t>Existing</t>
  </si>
  <si>
    <t xml:space="preserve">1.1A  </t>
  </si>
  <si>
    <t>1.1</t>
  </si>
  <si>
    <t>Net Discount</t>
  </si>
  <si>
    <t xml:space="preserve"> Basic Charge  (No bills)</t>
  </si>
  <si>
    <t>Energy (kWh)</t>
  </si>
  <si>
    <t>Total</t>
  </si>
  <si>
    <t>Proposed</t>
  </si>
  <si>
    <t>Percent Increase</t>
  </si>
  <si>
    <t>Variance from target</t>
  </si>
  <si>
    <t>Revenue Requirement</t>
  </si>
  <si>
    <t>COS. Such 1.2. page 6 of 6, Line 8</t>
  </si>
  <si>
    <t>General Service 2.1</t>
  </si>
  <si>
    <t>General Service 2.2</t>
  </si>
  <si>
    <t xml:space="preserve"> Energy </t>
  </si>
  <si>
    <t xml:space="preserve"> Demand </t>
  </si>
  <si>
    <t xml:space="preserve"> Alternative </t>
  </si>
  <si>
    <t xml:space="preserve"> Minimum </t>
  </si>
  <si>
    <t xml:space="preserve"> Transformer Credit </t>
  </si>
  <si>
    <t>Total Revenue</t>
  </si>
  <si>
    <t>Min - 3 phase</t>
  </si>
  <si>
    <t xml:space="preserve"> Minimum  Demand</t>
  </si>
  <si>
    <t>General Service 2.3</t>
  </si>
  <si>
    <t>General Service 2.4</t>
  </si>
  <si>
    <t>100W HPS Standard 2' Bkt</t>
  </si>
  <si>
    <t>250W MV Sentinel</t>
  </si>
  <si>
    <t>Wood Poles</t>
  </si>
  <si>
    <t>HV</t>
  </si>
  <si>
    <t>LW</t>
  </si>
  <si>
    <t>150W HPS Standard 2' Bkt</t>
  </si>
  <si>
    <t xml:space="preserve">250W HPS </t>
  </si>
  <si>
    <t xml:space="preserve">400W HPS </t>
  </si>
  <si>
    <t>400W MV Sentinel</t>
  </si>
  <si>
    <t>Rural Load Forecast MWh</t>
  </si>
  <si>
    <t>Happy Valley</t>
  </si>
  <si>
    <t>Quantity</t>
  </si>
  <si>
    <t>Rate</t>
  </si>
  <si>
    <t>Amt</t>
  </si>
  <si>
    <t>Mthly kWhs Assigned</t>
  </si>
  <si>
    <t>Total Mthly kWhs</t>
  </si>
  <si>
    <t>Annual MWhs</t>
  </si>
  <si>
    <t>Balance to Forecast (Add/Remove 100 HPS)</t>
  </si>
  <si>
    <t>Total Forecasted Revenue</t>
  </si>
  <si>
    <t>Rural Load Forecast Number of Customers</t>
  </si>
  <si>
    <t>Labrador West</t>
  </si>
  <si>
    <t>Target</t>
  </si>
  <si>
    <t>COS. Such 1.2. page 6 of 6, Line 9</t>
  </si>
  <si>
    <t>COS. Such 1.2. page 6 of 6, Line 10</t>
  </si>
  <si>
    <t>COS. Such 1.2. page 6 of 6, Line 11</t>
  </si>
  <si>
    <t>COS. Such 1.2. page 6 of 6, Line 12</t>
  </si>
  <si>
    <t>ok</t>
  </si>
  <si>
    <t>2013 Test Year</t>
  </si>
  <si>
    <t>August 2012 Actual Quantities</t>
  </si>
  <si>
    <t>*Revisit</t>
  </si>
  <si>
    <t>Revenue</t>
  </si>
  <si>
    <t>Schedule 1.2</t>
  </si>
  <si>
    <t>Page 6 of 6</t>
  </si>
  <si>
    <t>NEWFOUNDLAND AND LABRADOR HYDRO</t>
  </si>
  <si>
    <t>2013 Test Year Cost of Service</t>
  </si>
  <si>
    <t>Labrador Interconnected</t>
  </si>
  <si>
    <t>Comparison of Revenue &amp; Allocated Revenue Requirement</t>
  </si>
  <si>
    <t>Cost of Service Before</t>
  </si>
  <si>
    <t xml:space="preserve">Revenue Requirement </t>
  </si>
  <si>
    <t>Line</t>
  </si>
  <si>
    <t>Deficit and Revenue</t>
  </si>
  <si>
    <t>Deficit</t>
  </si>
  <si>
    <t>RSP</t>
  </si>
  <si>
    <t>After Deficit and Revenue</t>
  </si>
  <si>
    <t>to Cost</t>
  </si>
  <si>
    <t>No.</t>
  </si>
  <si>
    <t>Rate Class</t>
  </si>
  <si>
    <t>Revenues</t>
  </si>
  <si>
    <t>Credit Allocation</t>
  </si>
  <si>
    <t>Credit</t>
  </si>
  <si>
    <t>Allocation</t>
  </si>
  <si>
    <t>Activity</t>
  </si>
  <si>
    <t>Coverage</t>
  </si>
  <si>
    <t>(Col.3+4+5+6)</t>
  </si>
  <si>
    <t>(Col.2/3)</t>
  </si>
  <si>
    <t>($)</t>
  </si>
  <si>
    <t>Industrial IOCC Firm</t>
  </si>
  <si>
    <t>Industrial IOCC Non-Firm</t>
  </si>
  <si>
    <t>MFP Construction</t>
  </si>
  <si>
    <t>Subtotal Industrial</t>
  </si>
  <si>
    <t>CFB - Goose Bay Secondary</t>
  </si>
  <si>
    <t>Rural</t>
  </si>
  <si>
    <t xml:space="preserve">1.1 Domestic </t>
  </si>
  <si>
    <t xml:space="preserve">1.1A Domestic All Electric </t>
  </si>
  <si>
    <t>2.1 General Service 0-10 kW</t>
  </si>
  <si>
    <t>2.2 General Service 10-100 kW</t>
  </si>
  <si>
    <t>2.3 General Service 110-1,000 kVa</t>
  </si>
  <si>
    <t>2.4 General Service Over 1,000 kVa</t>
  </si>
  <si>
    <t>4.1 Street and Area Lighting</t>
  </si>
  <si>
    <t>Subtotal Rural</t>
  </si>
  <si>
    <t>Total Labrador Interconnected</t>
  </si>
  <si>
    <t xml:space="preserve">2013 Test Year </t>
  </si>
  <si>
    <t>COS. Sch 1.2. page 6 of 6, Line 12</t>
  </si>
  <si>
    <t>COS. Sch 1.2. page 6 of 6, Line 6</t>
  </si>
  <si>
    <t>COS. Sch 1.2. page 6 of 6, Line 7</t>
  </si>
  <si>
    <t>COS. Sch 1.2. page 6 of 6, Line 8</t>
  </si>
  <si>
    <t>COS. Sch 1.2. page 6 of 6, Line 9</t>
  </si>
  <si>
    <t>COS. Sch 1.2. page 6 of 6, Line 10</t>
  </si>
  <si>
    <t>COS. Sch 1.2. page 6 of 6, Line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</si>
</sst>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_(* #,##0.0000_);_(* \(#,##0.0000\);_(* &quot;-&quot;??_);_(@_)"/>
    <numFmt numFmtId="167" formatCode="0.000"/>
  </numFmts>
  <fonts count="21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b/>
      <sz val="10"/>
      <color rgb="FFFF0000"/>
      <name val="Arial"/>
      <family val="2"/>
    </font>
    <font>
      <sz val="11"/>
      <color rgb="FF00B050"/>
      <name val="Calibri"/>
      <family val="2"/>
    </font>
    <font>
      <u/>
      <sz val="11"/>
      <color theme="10"/>
      <name val="Calibri"/>
      <family val="2"/>
    </font>
    <font>
      <b/>
      <sz val="10"/>
      <color rgb="FF0000FF"/>
      <name val="Arial"/>
      <family val="2"/>
    </font>
    <font>
      <b/>
      <sz val="11"/>
      <color rgb="FF0000FF"/>
      <name val="Calibri"/>
      <family val="2"/>
    </font>
    <font>
      <sz val="11"/>
      <color rgb="FF0000FF"/>
      <name val="Calibri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b/>
      <sz val="11"/>
      <color rgb="FF00B050"/>
      <name val="Calibri"/>
      <family val="2"/>
    </font>
    <font>
      <sz val="11"/>
      <color rgb="FFC00000"/>
      <name val="Calibri"/>
      <family val="2"/>
    </font>
    <font>
      <sz val="10"/>
      <color indexed="48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u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84">
    <xf numFmtId="0" fontId="0" fillId="0" borderId="0" xfId="0"/>
    <xf numFmtId="43" fontId="0" fillId="0" borderId="0" xfId="1" applyFont="1"/>
    <xf numFmtId="164" fontId="0" fillId="0" borderId="0" xfId="1" applyNumberFormat="1" applyFont="1"/>
    <xf numFmtId="164" fontId="0" fillId="0" borderId="0" xfId="0" applyNumberFormat="1"/>
    <xf numFmtId="43" fontId="0" fillId="0" borderId="0" xfId="0" applyNumberFormat="1"/>
    <xf numFmtId="164" fontId="0" fillId="0" borderId="1" xfId="1" applyNumberFormat="1" applyFont="1" applyBorder="1"/>
    <xf numFmtId="9" fontId="2" fillId="0" borderId="0" xfId="2" applyFont="1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quotePrefix="1"/>
    <xf numFmtId="165" fontId="0" fillId="0" borderId="0" xfId="1" applyNumberFormat="1" applyFont="1"/>
    <xf numFmtId="164" fontId="0" fillId="0" borderId="0" xfId="0" applyNumberFormat="1" applyAlignment="1">
      <alignment horizontal="left" indent="1"/>
    </xf>
    <xf numFmtId="164" fontId="2" fillId="0" borderId="0" xfId="1" applyNumberFormat="1" applyFont="1"/>
    <xf numFmtId="164" fontId="2" fillId="0" borderId="0" xfId="1" applyNumberFormat="1" applyFont="1" applyAlignment="1">
      <alignment horizontal="centerContinuous"/>
    </xf>
    <xf numFmtId="164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0" fillId="0" borderId="2" xfId="0" applyNumberFormat="1" applyBorder="1"/>
    <xf numFmtId="166" fontId="0" fillId="0" borderId="0" xfId="0" applyNumberFormat="1"/>
    <xf numFmtId="43" fontId="0" fillId="0" borderId="0" xfId="1" applyNumberFormat="1" applyFont="1"/>
    <xf numFmtId="164" fontId="0" fillId="0" borderId="0" xfId="1" applyNumberFormat="1" applyFont="1" applyAlignment="1">
      <alignment horizontal="left" indent="1"/>
    </xf>
    <xf numFmtId="4" fontId="0" fillId="0" borderId="0" xfId="0" applyNumberFormat="1"/>
    <xf numFmtId="164" fontId="0" fillId="0" borderId="2" xfId="1" applyNumberFormat="1" applyFont="1" applyBorder="1"/>
    <xf numFmtId="9" fontId="0" fillId="0" borderId="0" xfId="2" applyFont="1"/>
    <xf numFmtId="0" fontId="4" fillId="0" borderId="0" xfId="3" applyFont="1"/>
    <xf numFmtId="0" fontId="5" fillId="0" borderId="0" xfId="0" applyFont="1"/>
    <xf numFmtId="0" fontId="4" fillId="0" borderId="3" xfId="0" applyFont="1" applyBorder="1" applyAlignment="1">
      <alignment horizontal="centerContinuous"/>
    </xf>
    <xf numFmtId="164" fontId="5" fillId="0" borderId="0" xfId="4" applyNumberFormat="1" applyFont="1"/>
    <xf numFmtId="43" fontId="5" fillId="0" borderId="0" xfId="4" applyFont="1"/>
    <xf numFmtId="43" fontId="4" fillId="0" borderId="0" xfId="4" applyFont="1"/>
    <xf numFmtId="43" fontId="3" fillId="0" borderId="0" xfId="4" applyFont="1"/>
    <xf numFmtId="43" fontId="3" fillId="0" borderId="3" xfId="4" applyFont="1" applyBorder="1"/>
    <xf numFmtId="164" fontId="4" fillId="0" borderId="0" xfId="4" applyNumberFormat="1" applyFont="1"/>
    <xf numFmtId="164" fontId="5" fillId="3" borderId="4" xfId="4" applyNumberFormat="1" applyFont="1" applyFill="1" applyBorder="1"/>
    <xf numFmtId="43" fontId="5" fillId="3" borderId="4" xfId="4" applyFont="1" applyFill="1" applyBorder="1"/>
    <xf numFmtId="43" fontId="4" fillId="3" borderId="4" xfId="4" applyFont="1" applyFill="1" applyBorder="1"/>
    <xf numFmtId="0" fontId="0" fillId="0" borderId="0" xfId="0" applyNumberFormat="1"/>
    <xf numFmtId="0" fontId="0" fillId="0" borderId="3" xfId="0" applyNumberFormat="1" applyBorder="1"/>
    <xf numFmtId="0" fontId="0" fillId="0" borderId="0" xfId="0" applyAlignment="1">
      <alignment horizontal="left" indent="1"/>
    </xf>
    <xf numFmtId="2" fontId="4" fillId="0" borderId="0" xfId="0" applyNumberFormat="1" applyFont="1"/>
    <xf numFmtId="43" fontId="4" fillId="0" borderId="0" xfId="0" applyNumberFormat="1" applyFont="1"/>
    <xf numFmtId="43" fontId="3" fillId="0" borderId="0" xfId="0" applyNumberFormat="1" applyFont="1"/>
    <xf numFmtId="2" fontId="4" fillId="2" borderId="4" xfId="0" applyNumberFormat="1" applyFont="1" applyFill="1" applyBorder="1"/>
    <xf numFmtId="2" fontId="4" fillId="0" borderId="0" xfId="0" applyNumberFormat="1" applyFont="1" applyFill="1"/>
    <xf numFmtId="43" fontId="5" fillId="0" borderId="0" xfId="4" applyFont="1" applyFill="1" applyBorder="1"/>
    <xf numFmtId="43" fontId="0" fillId="0" borderId="2" xfId="0" applyNumberFormat="1" applyBorder="1"/>
    <xf numFmtId="0" fontId="0" fillId="0" borderId="0" xfId="0" applyAlignment="1"/>
    <xf numFmtId="0" fontId="2" fillId="0" borderId="0" xfId="0" applyFont="1" applyAlignment="1">
      <alignment horizontal="centerContinuous"/>
    </xf>
    <xf numFmtId="164" fontId="6" fillId="0" borderId="0" xfId="1" applyNumberFormat="1" applyFont="1"/>
    <xf numFmtId="164" fontId="1" fillId="0" borderId="0" xfId="1" applyNumberFormat="1" applyFont="1"/>
    <xf numFmtId="164" fontId="1" fillId="0" borderId="0" xfId="1" applyNumberFormat="1" applyFont="1" applyFill="1"/>
    <xf numFmtId="43" fontId="1" fillId="0" borderId="0" xfId="1" applyFont="1" applyFill="1"/>
    <xf numFmtId="1" fontId="8" fillId="0" borderId="0" xfId="0" applyNumberFormat="1" applyFont="1"/>
    <xf numFmtId="0" fontId="8" fillId="0" borderId="0" xfId="0" applyFont="1"/>
    <xf numFmtId="164" fontId="10" fillId="3" borderId="4" xfId="4" applyNumberFormat="1" applyFont="1" applyFill="1" applyBorder="1"/>
    <xf numFmtId="43" fontId="7" fillId="0" borderId="0" xfId="4" applyFont="1" applyFill="1" applyBorder="1"/>
    <xf numFmtId="0" fontId="8" fillId="0" borderId="0" xfId="0" applyFont="1" applyFill="1"/>
    <xf numFmtId="0" fontId="9" fillId="0" borderId="0" xfId="6"/>
    <xf numFmtId="164" fontId="1" fillId="0" borderId="1" xfId="1" applyNumberFormat="1" applyFont="1" applyBorder="1"/>
    <xf numFmtId="167" fontId="0" fillId="0" borderId="0" xfId="0" applyNumberFormat="1"/>
    <xf numFmtId="43" fontId="11" fillId="0" borderId="0" xfId="0" applyNumberFormat="1" applyFont="1"/>
    <xf numFmtId="165" fontId="11" fillId="0" borderId="0" xfId="0" applyNumberFormat="1" applyFont="1"/>
    <xf numFmtId="43" fontId="11" fillId="0" borderId="0" xfId="1" applyFont="1"/>
    <xf numFmtId="43" fontId="10" fillId="0" borderId="0" xfId="4" applyFont="1" applyFill="1" applyBorder="1"/>
    <xf numFmtId="164" fontId="12" fillId="0" borderId="0" xfId="1" applyNumberFormat="1" applyFont="1"/>
    <xf numFmtId="164" fontId="12" fillId="0" borderId="1" xfId="1" applyNumberFormat="1" applyFont="1" applyBorder="1"/>
    <xf numFmtId="165" fontId="11" fillId="0" borderId="0" xfId="1" applyNumberFormat="1" applyFont="1"/>
    <xf numFmtId="0" fontId="13" fillId="0" borderId="3" xfId="0" applyFont="1" applyBorder="1" applyAlignment="1">
      <alignment horizontal="centerContinuous"/>
    </xf>
    <xf numFmtId="43" fontId="14" fillId="0" borderId="0" xfId="4" applyFont="1"/>
    <xf numFmtId="43" fontId="14" fillId="0" borderId="3" xfId="4" applyFont="1" applyBorder="1"/>
    <xf numFmtId="43" fontId="13" fillId="0" borderId="0" xfId="4" applyFont="1"/>
    <xf numFmtId="43" fontId="13" fillId="0" borderId="0" xfId="0" applyNumberFormat="1" applyFont="1"/>
    <xf numFmtId="43" fontId="8" fillId="0" borderId="0" xfId="0" applyNumberFormat="1" applyFont="1"/>
    <xf numFmtId="164" fontId="15" fillId="0" borderId="0" xfId="1" applyNumberFormat="1" applyFont="1" applyAlignment="1">
      <alignment horizontal="centerContinuous"/>
    </xf>
    <xf numFmtId="0" fontId="15" fillId="0" borderId="0" xfId="0" applyFont="1" applyAlignment="1">
      <alignment horizontal="center"/>
    </xf>
    <xf numFmtId="43" fontId="8" fillId="0" borderId="2" xfId="0" applyNumberFormat="1" applyFont="1" applyBorder="1"/>
    <xf numFmtId="9" fontId="15" fillId="0" borderId="0" xfId="2" applyFont="1"/>
    <xf numFmtId="0" fontId="0" fillId="0" borderId="0" xfId="0" applyFill="1" applyAlignment="1"/>
    <xf numFmtId="0" fontId="0" fillId="0" borderId="0" xfId="0" applyFill="1"/>
    <xf numFmtId="43" fontId="0" fillId="0" borderId="0" xfId="1" applyFont="1" applyFill="1"/>
    <xf numFmtId="164" fontId="0" fillId="0" borderId="0" xfId="1" applyNumberFormat="1" applyFont="1" applyFill="1"/>
    <xf numFmtId="43" fontId="0" fillId="4" borderId="5" xfId="0" applyNumberFormat="1" applyFill="1" applyBorder="1"/>
    <xf numFmtId="9" fontId="0" fillId="4" borderId="6" xfId="0" applyNumberFormat="1" applyFill="1" applyBorder="1"/>
    <xf numFmtId="9" fontId="0" fillId="0" borderId="0" xfId="2" applyNumberFormat="1" applyFont="1"/>
    <xf numFmtId="167" fontId="16" fillId="0" borderId="0" xfId="0" applyNumberFormat="1" applyFont="1"/>
    <xf numFmtId="43" fontId="6" fillId="0" borderId="0" xfId="1" applyNumberFormat="1" applyFont="1"/>
    <xf numFmtId="43" fontId="6" fillId="0" borderId="0" xfId="1" applyNumberFormat="1" applyFont="1" applyFill="1"/>
    <xf numFmtId="9" fontId="0" fillId="5" borderId="0" xfId="2" applyNumberFormat="1" applyFont="1" applyFill="1"/>
    <xf numFmtId="164" fontId="2" fillId="5" borderId="0" xfId="1" applyNumberFormat="1" applyFont="1" applyFill="1" applyAlignment="1">
      <alignment horizontal="centerContinuous"/>
    </xf>
    <xf numFmtId="164" fontId="2" fillId="5" borderId="0" xfId="1" applyNumberFormat="1" applyFont="1" applyFill="1" applyAlignment="1">
      <alignment horizontal="center"/>
    </xf>
    <xf numFmtId="0" fontId="2" fillId="5" borderId="0" xfId="0" applyFont="1" applyFill="1" applyAlignment="1">
      <alignment horizontal="center"/>
    </xf>
    <xf numFmtId="165" fontId="11" fillId="5" borderId="0" xfId="0" applyNumberFormat="1" applyFont="1" applyFill="1"/>
    <xf numFmtId="164" fontId="0" fillId="5" borderId="0" xfId="1" applyNumberFormat="1" applyFont="1" applyFill="1" applyAlignment="1">
      <alignment horizontal="left" indent="1"/>
    </xf>
    <xf numFmtId="43" fontId="11" fillId="5" borderId="0" xfId="0" applyNumberFormat="1" applyFont="1" applyFill="1"/>
    <xf numFmtId="164" fontId="0" fillId="5" borderId="0" xfId="1" applyNumberFormat="1" applyFont="1" applyFill="1"/>
    <xf numFmtId="43" fontId="0" fillId="5" borderId="0" xfId="0" applyNumberFormat="1" applyFill="1"/>
    <xf numFmtId="0" fontId="0" fillId="5" borderId="0" xfId="0" applyFill="1"/>
    <xf numFmtId="43" fontId="0" fillId="5" borderId="0" xfId="1" applyFont="1" applyFill="1"/>
    <xf numFmtId="164" fontId="0" fillId="5" borderId="2" xfId="1" applyNumberFormat="1" applyFont="1" applyFill="1" applyBorder="1"/>
    <xf numFmtId="164" fontId="0" fillId="5" borderId="0" xfId="0" applyNumberFormat="1" applyFont="1" applyFill="1"/>
    <xf numFmtId="9" fontId="2" fillId="5" borderId="0" xfId="2" applyFont="1" applyFill="1"/>
    <xf numFmtId="0" fontId="4" fillId="0" borderId="0" xfId="3" applyFont="1" applyFill="1"/>
    <xf numFmtId="0" fontId="4" fillId="0" borderId="3" xfId="0" applyFont="1" applyFill="1" applyBorder="1" applyAlignment="1">
      <alignment horizontal="centerContinuous"/>
    </xf>
    <xf numFmtId="43" fontId="3" fillId="0" borderId="0" xfId="4" applyFont="1" applyFill="1"/>
    <xf numFmtId="43" fontId="3" fillId="0" borderId="3" xfId="4" applyFont="1" applyFill="1" applyBorder="1"/>
    <xf numFmtId="164" fontId="4" fillId="0" borderId="0" xfId="4" applyNumberFormat="1" applyFont="1" applyFill="1"/>
    <xf numFmtId="43" fontId="4" fillId="0" borderId="0" xfId="4" applyFont="1" applyFill="1"/>
    <xf numFmtId="43" fontId="4" fillId="0" borderId="4" xfId="4" applyFont="1" applyFill="1" applyBorder="1"/>
    <xf numFmtId="43" fontId="4" fillId="0" borderId="0" xfId="0" applyNumberFormat="1" applyFont="1" applyFill="1"/>
    <xf numFmtId="43" fontId="3" fillId="0" borderId="0" xfId="0" applyNumberFormat="1" applyFont="1" applyFill="1"/>
    <xf numFmtId="2" fontId="4" fillId="0" borderId="4" xfId="0" applyNumberFormat="1" applyFont="1" applyFill="1" applyBorder="1"/>
    <xf numFmtId="0" fontId="18" fillId="0" borderId="0" xfId="0" applyFont="1" applyFill="1" applyAlignment="1">
      <alignment horizontal="centerContinuous"/>
    </xf>
    <xf numFmtId="164" fontId="18" fillId="0" borderId="0" xfId="1" applyNumberFormat="1" applyFont="1" applyFill="1" applyAlignment="1">
      <alignment horizontal="centerContinuous"/>
    </xf>
    <xf numFmtId="0" fontId="19" fillId="0" borderId="0" xfId="0" applyFont="1" applyFill="1"/>
    <xf numFmtId="164" fontId="19" fillId="0" borderId="0" xfId="1" applyNumberFormat="1" applyFont="1" applyFill="1"/>
    <xf numFmtId="0" fontId="18" fillId="0" borderId="0" xfId="0" applyFont="1" applyFill="1" applyAlignment="1">
      <alignment horizontal="center"/>
    </xf>
    <xf numFmtId="164" fontId="18" fillId="0" borderId="0" xfId="1" applyNumberFormat="1" applyFont="1" applyFill="1"/>
    <xf numFmtId="0" fontId="19" fillId="0" borderId="0" xfId="0" applyFont="1" applyFill="1" applyAlignment="1">
      <alignment horizontal="center"/>
    </xf>
    <xf numFmtId="43" fontId="19" fillId="0" borderId="0" xfId="0" applyNumberFormat="1" applyFont="1" applyFill="1"/>
    <xf numFmtId="0" fontId="20" fillId="0" borderId="0" xfId="6" applyFont="1" applyFill="1"/>
    <xf numFmtId="164" fontId="19" fillId="0" borderId="1" xfId="1" applyNumberFormat="1" applyFont="1" applyFill="1" applyBorder="1"/>
    <xf numFmtId="43" fontId="19" fillId="0" borderId="0" xfId="0" applyNumberFormat="1" applyFont="1" applyFill="1" applyBorder="1"/>
    <xf numFmtId="10" fontId="19" fillId="0" borderId="0" xfId="0" applyNumberFormat="1" applyFont="1" applyFill="1" applyBorder="1"/>
    <xf numFmtId="0" fontId="18" fillId="0" borderId="0" xfId="0" applyFont="1" applyFill="1"/>
    <xf numFmtId="9" fontId="18" fillId="0" borderId="0" xfId="2" applyNumberFormat="1" applyFont="1" applyFill="1"/>
    <xf numFmtId="43" fontId="19" fillId="0" borderId="0" xfId="1" applyNumberFormat="1" applyFont="1" applyFill="1"/>
    <xf numFmtId="164" fontId="18" fillId="0" borderId="0" xfId="1" applyNumberFormat="1" applyFont="1" applyFill="1" applyAlignment="1">
      <alignment horizontal="center"/>
    </xf>
    <xf numFmtId="0" fontId="19" fillId="0" borderId="0" xfId="0" quotePrefix="1" applyFont="1" applyFill="1"/>
    <xf numFmtId="43" fontId="19" fillId="0" borderId="0" xfId="1" applyFont="1" applyFill="1"/>
    <xf numFmtId="164" fontId="19" fillId="0" borderId="0" xfId="0" applyNumberFormat="1" applyFont="1" applyFill="1"/>
    <xf numFmtId="43" fontId="18" fillId="0" borderId="0" xfId="0" applyNumberFormat="1" applyFont="1" applyFill="1"/>
    <xf numFmtId="167" fontId="19" fillId="0" borderId="0" xfId="0" applyNumberFormat="1" applyFont="1" applyFill="1"/>
    <xf numFmtId="2" fontId="19" fillId="0" borderId="0" xfId="0" applyNumberFormat="1" applyFont="1" applyFill="1"/>
    <xf numFmtId="165" fontId="19" fillId="0" borderId="0" xfId="1" applyNumberFormat="1" applyFont="1" applyFill="1"/>
    <xf numFmtId="164" fontId="19" fillId="0" borderId="0" xfId="0" applyNumberFormat="1" applyFont="1" applyFill="1" applyAlignment="1">
      <alignment horizontal="left" indent="1"/>
    </xf>
    <xf numFmtId="165" fontId="18" fillId="0" borderId="0" xfId="0" applyNumberFormat="1" applyFont="1" applyFill="1"/>
    <xf numFmtId="164" fontId="19" fillId="0" borderId="2" xfId="0" applyNumberFormat="1" applyFont="1" applyFill="1" applyBorder="1"/>
    <xf numFmtId="1" fontId="19" fillId="0" borderId="0" xfId="0" applyNumberFormat="1" applyFont="1" applyFill="1"/>
    <xf numFmtId="10" fontId="19" fillId="0" borderId="0" xfId="2" applyNumberFormat="1" applyFont="1" applyFill="1"/>
    <xf numFmtId="10" fontId="18" fillId="0" borderId="0" xfId="2" applyNumberFormat="1" applyFont="1" applyFill="1"/>
    <xf numFmtId="43" fontId="18" fillId="0" borderId="0" xfId="1" applyFont="1" applyFill="1"/>
    <xf numFmtId="165" fontId="18" fillId="0" borderId="0" xfId="1" applyNumberFormat="1" applyFont="1" applyFill="1"/>
    <xf numFmtId="166" fontId="19" fillId="0" borderId="0" xfId="0" applyNumberFormat="1" applyFont="1" applyFill="1"/>
    <xf numFmtId="164" fontId="19" fillId="0" borderId="0" xfId="1" applyNumberFormat="1" applyFont="1" applyFill="1" applyAlignment="1">
      <alignment horizontal="left" indent="1"/>
    </xf>
    <xf numFmtId="4" fontId="19" fillId="0" borderId="0" xfId="0" applyNumberFormat="1" applyFont="1" applyFill="1"/>
    <xf numFmtId="164" fontId="19" fillId="0" borderId="2" xfId="1" applyNumberFormat="1" applyFont="1" applyFill="1" applyBorder="1"/>
    <xf numFmtId="9" fontId="19" fillId="0" borderId="0" xfId="0" applyNumberFormat="1" applyFont="1" applyFill="1"/>
    <xf numFmtId="0" fontId="19" fillId="0" borderId="0" xfId="0" applyFont="1" applyFill="1" applyAlignment="1"/>
    <xf numFmtId="10" fontId="19" fillId="0" borderId="0" xfId="0" applyNumberFormat="1" applyFont="1" applyFill="1"/>
    <xf numFmtId="0" fontId="19" fillId="0" borderId="7" xfId="0" applyFont="1" applyFill="1" applyBorder="1" applyAlignment="1"/>
    <xf numFmtId="0" fontId="19" fillId="0" borderId="7" xfId="0" applyFont="1" applyFill="1" applyBorder="1"/>
    <xf numFmtId="164" fontId="19" fillId="0" borderId="7" xfId="1" applyNumberFormat="1" applyFont="1" applyFill="1" applyBorder="1"/>
    <xf numFmtId="0" fontId="4" fillId="0" borderId="0" xfId="0" applyFont="1" applyFill="1"/>
    <xf numFmtId="0" fontId="19" fillId="0" borderId="0" xfId="0" applyNumberFormat="1" applyFont="1" applyFill="1"/>
    <xf numFmtId="164" fontId="4" fillId="0" borderId="4" xfId="4" applyNumberFormat="1" applyFont="1" applyFill="1" applyBorder="1"/>
    <xf numFmtId="0" fontId="19" fillId="0" borderId="3" xfId="0" applyNumberFormat="1" applyFont="1" applyFill="1" applyBorder="1"/>
    <xf numFmtId="0" fontId="19" fillId="0" borderId="0" xfId="0" applyFont="1" applyFill="1" applyAlignment="1">
      <alignment horizontal="left" indent="1"/>
    </xf>
    <xf numFmtId="43" fontId="4" fillId="0" borderId="0" xfId="4" applyFont="1" applyFill="1" applyBorder="1"/>
    <xf numFmtId="43" fontId="19" fillId="0" borderId="2" xfId="0" applyNumberFormat="1" applyFont="1" applyFill="1" applyBorder="1"/>
    <xf numFmtId="9" fontId="18" fillId="0" borderId="0" xfId="2" applyFont="1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0" fontId="4" fillId="0" borderId="0" xfId="0" applyFont="1" applyFill="1" applyAlignment="1">
      <alignment horizontal="centerContinuous"/>
    </xf>
    <xf numFmtId="0" fontId="4" fillId="0" borderId="0" xfId="0" quotePrefix="1" applyFont="1" applyFill="1" applyAlignment="1">
      <alignment horizontal="centerContinuous"/>
    </xf>
    <xf numFmtId="0" fontId="0" fillId="0" borderId="0" xfId="0" quotePrefix="1" applyFill="1" applyAlignment="1">
      <alignment horizontal="center"/>
    </xf>
    <xf numFmtId="43" fontId="0" fillId="0" borderId="0" xfId="4" applyFont="1" applyFill="1" applyAlignment="1">
      <alignment horizontal="center"/>
    </xf>
    <xf numFmtId="43" fontId="0" fillId="0" borderId="0" xfId="4" quotePrefix="1" applyFont="1" applyFill="1" applyAlignment="1">
      <alignment horizontal="center"/>
    </xf>
    <xf numFmtId="43" fontId="0" fillId="0" borderId="0" xfId="4" applyFont="1" applyFill="1"/>
    <xf numFmtId="164" fontId="3" fillId="0" borderId="0" xfId="4" applyNumberFormat="1" applyFont="1" applyFill="1"/>
    <xf numFmtId="164" fontId="0" fillId="0" borderId="0" xfId="4" applyNumberFormat="1" applyFont="1" applyFill="1"/>
    <xf numFmtId="2" fontId="0" fillId="0" borderId="0" xfId="0" applyNumberFormat="1" applyFill="1"/>
    <xf numFmtId="0" fontId="3" fillId="0" borderId="0" xfId="0" applyFont="1" applyFill="1"/>
    <xf numFmtId="164" fontId="4" fillId="0" borderId="1" xfId="4" applyNumberFormat="1" applyFont="1" applyFill="1" applyBorder="1"/>
    <xf numFmtId="2" fontId="4" fillId="0" borderId="1" xfId="0" applyNumberFormat="1" applyFont="1" applyFill="1" applyBorder="1"/>
    <xf numFmtId="164" fontId="3" fillId="0" borderId="0" xfId="4" applyNumberFormat="1" applyFont="1" applyFill="1" applyBorder="1"/>
    <xf numFmtId="2" fontId="3" fillId="0" borderId="0" xfId="0" applyNumberFormat="1" applyFont="1" applyFill="1" applyBorder="1"/>
    <xf numFmtId="164" fontId="17" fillId="0" borderId="0" xfId="4" applyNumberFormat="1" applyFont="1" applyFill="1"/>
    <xf numFmtId="2" fontId="0" fillId="0" borderId="0" xfId="0" applyNumberFormat="1" applyFill="1" applyBorder="1"/>
    <xf numFmtId="164" fontId="0" fillId="0" borderId="0" xfId="4" applyNumberFormat="1" applyFont="1" applyFill="1" applyBorder="1"/>
    <xf numFmtId="164" fontId="4" fillId="0" borderId="8" xfId="4" applyNumberFormat="1" applyFont="1" applyFill="1" applyBorder="1"/>
    <xf numFmtId="2" fontId="4" fillId="0" borderId="8" xfId="0" applyNumberFormat="1" applyFont="1" applyFill="1" applyBorder="1"/>
    <xf numFmtId="164" fontId="18" fillId="0" borderId="9" xfId="1" applyNumberFormat="1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164" fontId="18" fillId="0" borderId="3" xfId="1" applyNumberFormat="1" applyFont="1" applyFill="1" applyBorder="1" applyAlignment="1">
      <alignment horizontal="center"/>
    </xf>
    <xf numFmtId="0" fontId="19" fillId="0" borderId="0" xfId="0" applyNumberFormat="1" applyFont="1" applyFill="1" applyBorder="1"/>
  </cellXfs>
  <cellStyles count="7">
    <cellStyle name="Comma" xfId="1" builtinId="3"/>
    <cellStyle name="Comma 2" xfId="4"/>
    <cellStyle name="Hyperlink" xfId="6" builtinId="8"/>
    <cellStyle name="Normal" xfId="0" builtinId="0"/>
    <cellStyle name="Normal 2" xfId="3"/>
    <cellStyle name="Percent" xfId="2" builtinId="5"/>
    <cellStyle name="Percent 2" xfId="5"/>
  </cellStyles>
  <dxfs count="0"/>
  <tableStyles count="0" defaultTableStyle="TableStyleMedium2" defaultPivotStyle="PivotStyleLight16"/>
  <colors>
    <mruColors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Rates\COS%20Runs\COS%202013F_Test%20Yr_Filing%20Date%20June%202013\C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Rates\Rural%20Revenue\2013B%20TY\Budget%20Current%20Rate%20Runs\REMODEL%20of%20Current%20Rates\TY%20-%20RuralRevenueProductionMod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Revisions"/>
      <sheetName val="RunOptions"/>
      <sheetName val="Reconciliation"/>
      <sheetName val="Revenue Requirement"/>
      <sheetName val="Balance"/>
      <sheetName val="Rate Base"/>
      <sheetName val="Rev to Cost"/>
      <sheetName val="NPRateCalcs"/>
      <sheetName val="Unit Costs"/>
      <sheetName val="IslIntCos"/>
      <sheetName val="IslIsoCos"/>
      <sheetName val="LabIsoCos"/>
      <sheetName val="LALCos"/>
      <sheetName val="LabIntCos"/>
      <sheetName val="Schedule 4.1"/>
      <sheetName val="Schedules 4.2,4.3,4.4"/>
      <sheetName val="AED"/>
      <sheetName val="AllocDep"/>
      <sheetName val="AllocMisc"/>
      <sheetName val="AllocNBV"/>
      <sheetName val="AllocPlt"/>
      <sheetName val="Average Costs"/>
      <sheetName val="Coverage"/>
      <sheetName val="Customers"/>
      <sheetName val="DistnDetails"/>
      <sheetName val="LabourRatios"/>
      <sheetName val="O&amp;M Summary"/>
      <sheetName val="SDEPDetails"/>
      <sheetName val="SNBVDetails"/>
      <sheetName val="SpecAssFuel"/>
      <sheetName val="SPLTDetails"/>
      <sheetName val="SystemizedPlant"/>
      <sheetName val="PrtRanges"/>
    </sheetNames>
    <sheetDataSet>
      <sheetData sheetId="0" refreshError="1"/>
      <sheetData sheetId="1" refreshError="1"/>
      <sheetData sheetId="2">
        <row r="23">
          <cell r="B23" t="str">
            <v>2013 Test Year Cost of Service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 Summary w Increases"/>
      <sheetName val="Revenue Summary Current Rates"/>
      <sheetName val="Det Rev Production Curr Rates"/>
      <sheetName val="RRA Summary"/>
      <sheetName val="RRA Rev Production Curr Rates"/>
      <sheetName val="RRA Rev Production TY Rates"/>
      <sheetName val="Other Inputs"/>
      <sheetName val="1st Block kWh (OLD)"/>
      <sheetName val="1st Block kWh"/>
      <sheetName val="2nd Block kWh"/>
      <sheetName val="3rd Block kWh"/>
      <sheetName val="(ALT) Maximum Charge kWh"/>
      <sheetName val="Billing Demand kW"/>
      <sheetName val="COT Credit"/>
      <sheetName val="MIN Demand Revenue"/>
      <sheetName val="MinDem%"/>
      <sheetName val="MinDemData"/>
      <sheetName val="Three Phase Min Customers"/>
      <sheetName val="Average Customers"/>
      <sheetName val="Discounts"/>
      <sheetName val="Forefit Discounts"/>
      <sheetName val="RuralRevenueDetail"/>
      <sheetName val="KWH Reconcilation Pivot"/>
      <sheetName val="Notes"/>
    </sheetNames>
    <sheetDataSet>
      <sheetData sheetId="0"/>
      <sheetData sheetId="1"/>
      <sheetData sheetId="2">
        <row r="232">
          <cell r="E232">
            <v>3</v>
          </cell>
          <cell r="F232">
            <v>4</v>
          </cell>
          <cell r="G232">
            <v>4</v>
          </cell>
          <cell r="H232">
            <v>2</v>
          </cell>
          <cell r="I232">
            <v>3</v>
          </cell>
          <cell r="J232">
            <v>5</v>
          </cell>
          <cell r="K232">
            <v>7</v>
          </cell>
          <cell r="L232">
            <v>12</v>
          </cell>
          <cell r="M232">
            <v>10</v>
          </cell>
          <cell r="N232">
            <v>5</v>
          </cell>
          <cell r="O232">
            <v>1</v>
          </cell>
          <cell r="P232">
            <v>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0"/>
  <sheetViews>
    <sheetView topLeftCell="A91" zoomScaleNormal="100" workbookViewId="0">
      <selection activeCell="A99" sqref="A99"/>
    </sheetView>
  </sheetViews>
  <sheetFormatPr defaultRowHeight="14.4" x14ac:dyDescent="0.3"/>
  <cols>
    <col min="2" max="2" width="37" customWidth="1"/>
    <col min="3" max="3" width="29.88671875" style="2" customWidth="1"/>
    <col min="4" max="4" width="12.33203125" style="2" customWidth="1"/>
    <col min="5" max="5" width="16.33203125" bestFit="1" customWidth="1"/>
    <col min="6" max="7" width="11.5546875" bestFit="1" customWidth="1"/>
    <col min="8" max="8" width="12.88671875" bestFit="1" customWidth="1"/>
    <col min="9" max="9" width="13.44140625" style="52" bestFit="1" customWidth="1"/>
  </cols>
  <sheetData>
    <row r="1" spans="1:8" x14ac:dyDescent="0.3">
      <c r="A1" s="46" t="s">
        <v>4</v>
      </c>
      <c r="B1" s="46"/>
      <c r="C1" s="13"/>
      <c r="D1" s="13"/>
      <c r="E1" s="46"/>
      <c r="F1" s="46"/>
      <c r="G1" s="46"/>
      <c r="H1" s="46"/>
    </row>
    <row r="2" spans="1:8" x14ac:dyDescent="0.3">
      <c r="A2" s="46" t="s">
        <v>0</v>
      </c>
      <c r="B2" s="46"/>
      <c r="C2" s="13"/>
      <c r="D2" s="13"/>
      <c r="E2" s="46"/>
      <c r="F2" s="46"/>
      <c r="G2" s="46"/>
      <c r="H2" s="46"/>
    </row>
    <row r="3" spans="1:8" x14ac:dyDescent="0.3">
      <c r="A3" s="46" t="s">
        <v>73</v>
      </c>
      <c r="B3" s="46"/>
      <c r="C3" s="13"/>
      <c r="D3" s="13"/>
      <c r="E3" s="46"/>
      <c r="F3" s="46"/>
      <c r="G3" s="46"/>
      <c r="H3" s="46"/>
    </row>
    <row r="4" spans="1:8" x14ac:dyDescent="0.3">
      <c r="A4" t="str">
        <f ca="1">+CELL("filename")</f>
        <v>Y:\D Drive\_ FINAL RFIs\DRAFTS\Oct 15-13 B3\[PUB-NLH-117 Excel Attachment 1.xlsx]Rate Design (DEM)</v>
      </c>
    </row>
    <row r="5" spans="1:8" x14ac:dyDescent="0.3">
      <c r="A5" s="15" t="s">
        <v>2</v>
      </c>
      <c r="D5" s="12" t="s">
        <v>1</v>
      </c>
    </row>
    <row r="6" spans="1:8" x14ac:dyDescent="0.3">
      <c r="A6" s="7">
        <v>1</v>
      </c>
      <c r="B6" t="s">
        <v>3</v>
      </c>
      <c r="C6" s="63">
        <v>23003935</v>
      </c>
      <c r="D6" s="2" t="s">
        <v>71</v>
      </c>
    </row>
    <row r="7" spans="1:8" x14ac:dyDescent="0.3">
      <c r="A7" s="7">
        <f>+A6+1</f>
        <v>2</v>
      </c>
      <c r="B7" t="s">
        <v>5</v>
      </c>
      <c r="C7" s="48">
        <f>+H37</f>
        <v>13574964.203077644</v>
      </c>
      <c r="D7" s="48" t="str">
        <f>+"Line "&amp;A37</f>
        <v>Line 23</v>
      </c>
    </row>
    <row r="8" spans="1:8" x14ac:dyDescent="0.3">
      <c r="A8" s="7">
        <f t="shared" ref="A8:A14" si="0">+A7+1</f>
        <v>3</v>
      </c>
      <c r="B8" t="s">
        <v>6</v>
      </c>
      <c r="C8" s="48">
        <f>+H52</f>
        <v>443159.78840371629</v>
      </c>
      <c r="D8" s="48" t="str">
        <f>+"Line "&amp;A52</f>
        <v>Line 32</v>
      </c>
    </row>
    <row r="9" spans="1:8" x14ac:dyDescent="0.3">
      <c r="A9" s="7">
        <f t="shared" si="0"/>
        <v>4</v>
      </c>
      <c r="B9" t="s">
        <v>7</v>
      </c>
      <c r="C9" s="48">
        <f>+H70</f>
        <v>2481031.9537460003</v>
      </c>
      <c r="D9" s="48" t="str">
        <f>+"Line "&amp;A70</f>
        <v>Line 44</v>
      </c>
    </row>
    <row r="10" spans="1:8" x14ac:dyDescent="0.3">
      <c r="A10" s="7">
        <f t="shared" si="0"/>
        <v>5</v>
      </c>
      <c r="B10" t="s">
        <v>8</v>
      </c>
      <c r="C10" s="48">
        <f>+H88</f>
        <v>3672342.0423285253</v>
      </c>
      <c r="D10" s="48" t="str">
        <f>+"Line "&amp;A88</f>
        <v>Line 56</v>
      </c>
    </row>
    <row r="11" spans="1:8" x14ac:dyDescent="0.3">
      <c r="A11" s="7">
        <f t="shared" si="0"/>
        <v>6</v>
      </c>
      <c r="B11" t="s">
        <v>9</v>
      </c>
      <c r="C11" s="48">
        <f>+H107</f>
        <v>2433623.0540125878</v>
      </c>
      <c r="D11" s="48" t="str">
        <f>+"Line "&amp;A107</f>
        <v>Line 69</v>
      </c>
    </row>
    <row r="12" spans="1:8" x14ac:dyDescent="0.3">
      <c r="A12" s="7">
        <f t="shared" si="0"/>
        <v>7</v>
      </c>
      <c r="B12" t="s">
        <v>10</v>
      </c>
      <c r="C12" s="48">
        <f>+I163</f>
        <v>398579.35999999993</v>
      </c>
      <c r="D12" s="48" t="str">
        <f>+"Line "&amp;A163</f>
        <v>Line 107</v>
      </c>
      <c r="F12" s="56"/>
    </row>
    <row r="13" spans="1:8" x14ac:dyDescent="0.3">
      <c r="A13" s="7">
        <f t="shared" si="0"/>
        <v>8</v>
      </c>
      <c r="B13" t="s">
        <v>11</v>
      </c>
      <c r="C13" s="57">
        <f>SUM(C7:C12)</f>
        <v>23003700.401568472</v>
      </c>
      <c r="E13" s="80">
        <f>C21+C45+C59+C77+C96+C165</f>
        <v>23003935</v>
      </c>
      <c r="F13" s="81">
        <v>1.1035622739083899</v>
      </c>
    </row>
    <row r="14" spans="1:8" x14ac:dyDescent="0.3">
      <c r="A14" s="7">
        <f t="shared" si="0"/>
        <v>9</v>
      </c>
      <c r="B14" t="s">
        <v>12</v>
      </c>
      <c r="C14" s="48">
        <f>+C6-C13</f>
        <v>234.59843152761459</v>
      </c>
    </row>
    <row r="15" spans="1:8" x14ac:dyDescent="0.3">
      <c r="A15" s="7"/>
    </row>
    <row r="16" spans="1:8" x14ac:dyDescent="0.3">
      <c r="A16" s="7"/>
      <c r="B16" s="8" t="s">
        <v>5</v>
      </c>
    </row>
    <row r="17" spans="1:9" x14ac:dyDescent="0.3">
      <c r="A17" s="7">
        <f>+A14+A16</f>
        <v>9</v>
      </c>
      <c r="B17" t="s">
        <v>13</v>
      </c>
      <c r="C17" s="63">
        <v>299256</v>
      </c>
      <c r="D17" s="48" t="s">
        <v>17</v>
      </c>
    </row>
    <row r="18" spans="1:9" x14ac:dyDescent="0.3">
      <c r="A18" s="7">
        <f>+A17+1</f>
        <v>10</v>
      </c>
      <c r="B18" t="s">
        <v>14</v>
      </c>
      <c r="C18" s="63">
        <v>13990062</v>
      </c>
      <c r="D18" s="48" t="s">
        <v>18</v>
      </c>
    </row>
    <row r="19" spans="1:9" x14ac:dyDescent="0.3">
      <c r="A19" s="7">
        <f>+A18+1</f>
        <v>11</v>
      </c>
      <c r="B19" t="s">
        <v>11</v>
      </c>
      <c r="C19" s="57">
        <f>+C18+C17</f>
        <v>14289318</v>
      </c>
    </row>
    <row r="20" spans="1:9" x14ac:dyDescent="0.3">
      <c r="A20" s="7">
        <f>+A19+1</f>
        <v>12</v>
      </c>
      <c r="B20" t="s">
        <v>15</v>
      </c>
      <c r="C20" s="6">
        <v>0.95</v>
      </c>
    </row>
    <row r="21" spans="1:9" ht="16.5" customHeight="1" x14ac:dyDescent="0.3">
      <c r="A21" s="7">
        <f>+A20+1</f>
        <v>13</v>
      </c>
      <c r="B21" t="s">
        <v>16</v>
      </c>
      <c r="C21" s="18">
        <f>C19*C20</f>
        <v>13574852.1</v>
      </c>
      <c r="D21" s="48" t="str">
        <f>+"Line "&amp;A19&amp;" x Line "&amp;A20</f>
        <v>Line 11 x Line 12</v>
      </c>
    </row>
    <row r="22" spans="1:9" ht="16.5" customHeight="1" x14ac:dyDescent="0.3">
      <c r="A22" s="7"/>
    </row>
    <row r="23" spans="1:9" x14ac:dyDescent="0.3">
      <c r="A23" s="7"/>
      <c r="C23" s="12"/>
      <c r="D23" s="13" t="s">
        <v>22</v>
      </c>
      <c r="E23" s="13"/>
      <c r="F23" s="2"/>
      <c r="G23" s="13" t="s">
        <v>29</v>
      </c>
      <c r="H23" s="13"/>
    </row>
    <row r="24" spans="1:9" ht="12" customHeight="1" x14ac:dyDescent="0.3">
      <c r="A24" s="7"/>
      <c r="C24" s="14" t="s">
        <v>19</v>
      </c>
      <c r="D24" s="14" t="s">
        <v>20</v>
      </c>
      <c r="E24" s="15" t="s">
        <v>21</v>
      </c>
      <c r="F24" s="7"/>
      <c r="G24" s="14" t="s">
        <v>20</v>
      </c>
      <c r="H24" s="15" t="s">
        <v>21</v>
      </c>
    </row>
    <row r="25" spans="1:9" x14ac:dyDescent="0.3">
      <c r="A25" s="7"/>
      <c r="B25" t="s">
        <v>26</v>
      </c>
    </row>
    <row r="26" spans="1:9" x14ac:dyDescent="0.3">
      <c r="A26" s="7">
        <f>+A21+1</f>
        <v>14</v>
      </c>
      <c r="B26" s="9" t="s">
        <v>24</v>
      </c>
      <c r="C26" s="63">
        <f>414*12</f>
        <v>4968</v>
      </c>
      <c r="D26" s="1">
        <v>7.15</v>
      </c>
      <c r="E26" s="3">
        <f>+$C26*D26</f>
        <v>35521.200000000004</v>
      </c>
      <c r="F26" s="4"/>
      <c r="G26" s="59">
        <v>9.1999999999999993</v>
      </c>
      <c r="H26" s="3">
        <f>+$C26*G26</f>
        <v>45705.599999999999</v>
      </c>
      <c r="I26" s="83">
        <f>G26/D26</f>
        <v>1.2867132867132864</v>
      </c>
    </row>
    <row r="27" spans="1:9" x14ac:dyDescent="0.3">
      <c r="A27" s="7">
        <f>+A26+1</f>
        <v>15</v>
      </c>
      <c r="B27" t="s">
        <v>23</v>
      </c>
      <c r="C27" s="63">
        <f>8776*12</f>
        <v>105312</v>
      </c>
      <c r="D27" s="1">
        <v>7.15</v>
      </c>
      <c r="E27" s="3">
        <f>+$C27*D27</f>
        <v>752980.8</v>
      </c>
      <c r="G27">
        <f>+G26</f>
        <v>9.1999999999999993</v>
      </c>
      <c r="H27" s="3">
        <f>+$C27*G27</f>
        <v>968870.39999999991</v>
      </c>
      <c r="I27" s="83">
        <f>G27/D27</f>
        <v>1.2867132867132864</v>
      </c>
    </row>
    <row r="28" spans="1:9" x14ac:dyDescent="0.3">
      <c r="A28" s="7">
        <f>+A27+1</f>
        <v>16</v>
      </c>
      <c r="C28" s="5">
        <f>SUM(C26:C27)</f>
        <v>110280</v>
      </c>
      <c r="E28" s="5">
        <f>SUM(E26:E27)</f>
        <v>788502</v>
      </c>
      <c r="H28" s="5">
        <f>SUM(H26:H27)</f>
        <v>1014575.9999999999</v>
      </c>
    </row>
    <row r="29" spans="1:9" x14ac:dyDescent="0.3">
      <c r="A29" s="7"/>
      <c r="B29" t="s">
        <v>27</v>
      </c>
    </row>
    <row r="30" spans="1:9" x14ac:dyDescent="0.3">
      <c r="A30" s="7">
        <f>+A28+1</f>
        <v>17</v>
      </c>
      <c r="B30" s="9" t="s">
        <v>24</v>
      </c>
      <c r="C30" s="63">
        <v>2258000</v>
      </c>
      <c r="D30" s="10">
        <v>3.28</v>
      </c>
      <c r="E30" s="11">
        <f>+$C30*D30/100</f>
        <v>74062.399999999994</v>
      </c>
      <c r="F30" s="4"/>
      <c r="G30" s="60">
        <f>ROUND(D30*1.288,3)</f>
        <v>4.2249999999999996</v>
      </c>
      <c r="H30" s="11">
        <f>+$C30*G30/100</f>
        <v>95400.5</v>
      </c>
      <c r="I30" s="83">
        <f>G30/D30</f>
        <v>1.288109756097561</v>
      </c>
    </row>
    <row r="31" spans="1:9" x14ac:dyDescent="0.3">
      <c r="A31" s="7">
        <f>+A30+1</f>
        <v>18</v>
      </c>
      <c r="B31" t="s">
        <v>23</v>
      </c>
      <c r="C31" s="63">
        <v>297866000</v>
      </c>
      <c r="D31" s="10">
        <v>3.28</v>
      </c>
      <c r="E31" s="11">
        <f>+$C31*D31/100</f>
        <v>9770004.8000000007</v>
      </c>
      <c r="G31" s="58">
        <f>+G30</f>
        <v>4.2249999999999996</v>
      </c>
      <c r="H31" s="11">
        <f>+$C31*G31/100</f>
        <v>12584838.5</v>
      </c>
      <c r="I31" s="83">
        <f>G31/D31</f>
        <v>1.288109756097561</v>
      </c>
    </row>
    <row r="32" spans="1:9" x14ac:dyDescent="0.3">
      <c r="A32" s="7">
        <f>+A31+1</f>
        <v>19</v>
      </c>
      <c r="C32" s="5">
        <f>SUM(C30:C31)</f>
        <v>300124000</v>
      </c>
      <c r="E32" s="5">
        <f>SUM(E30:E31)</f>
        <v>9844067.2000000011</v>
      </c>
      <c r="H32" s="5">
        <f>SUM(H30:H31)</f>
        <v>12680239</v>
      </c>
    </row>
    <row r="33" spans="1:8" x14ac:dyDescent="0.3">
      <c r="A33" s="7"/>
      <c r="B33" t="s">
        <v>25</v>
      </c>
    </row>
    <row r="34" spans="1:8" x14ac:dyDescent="0.3">
      <c r="A34" s="7">
        <f>+A32+1</f>
        <v>20</v>
      </c>
      <c r="B34" s="9" t="s">
        <v>24</v>
      </c>
      <c r="E34" s="48">
        <f>-5079+1978</f>
        <v>-3101</v>
      </c>
      <c r="H34" s="2">
        <f>+(E34/(E26+E30)*(H26+H30))</f>
        <v>-3993.0246505864015</v>
      </c>
    </row>
    <row r="35" spans="1:8" x14ac:dyDescent="0.3">
      <c r="A35" s="7">
        <f>+A34+1</f>
        <v>21</v>
      </c>
      <c r="B35" t="s">
        <v>23</v>
      </c>
      <c r="E35" s="48">
        <f>-169038+79087</f>
        <v>-89951</v>
      </c>
      <c r="H35" s="2">
        <f>+(E35/(E27+E31)*(H27+H31))</f>
        <v>-115857.77227176857</v>
      </c>
    </row>
    <row r="36" spans="1:8" x14ac:dyDescent="0.3">
      <c r="A36" s="7">
        <f>+A35+1</f>
        <v>22</v>
      </c>
      <c r="E36" s="5">
        <f>SUM(E34:E35)</f>
        <v>-93052</v>
      </c>
      <c r="H36" s="5">
        <f>SUM(H34:H35)</f>
        <v>-119850.79692235497</v>
      </c>
    </row>
    <row r="37" spans="1:8" ht="15" thickBot="1" x14ac:dyDescent="0.35">
      <c r="A37" s="7">
        <f>+A36+1</f>
        <v>23</v>
      </c>
      <c r="B37" t="s">
        <v>28</v>
      </c>
      <c r="E37" s="16">
        <f>+E28+E32+E36</f>
        <v>10539517.200000001</v>
      </c>
      <c r="F37" s="51" t="s">
        <v>72</v>
      </c>
      <c r="H37" s="16">
        <f>+H28+H32+H36</f>
        <v>13574964.203077644</v>
      </c>
    </row>
    <row r="38" spans="1:8" ht="15" thickTop="1" x14ac:dyDescent="0.3">
      <c r="A38" s="7">
        <f>+A37+1</f>
        <v>24</v>
      </c>
      <c r="B38" t="s">
        <v>31</v>
      </c>
      <c r="H38" s="3">
        <f>+H37-C21</f>
        <v>112.10307764448225</v>
      </c>
    </row>
    <row r="39" spans="1:8" x14ac:dyDescent="0.3">
      <c r="A39" s="7">
        <f>+A38+1</f>
        <v>25</v>
      </c>
      <c r="B39" t="s">
        <v>30</v>
      </c>
      <c r="E39" s="82">
        <f>+(C21/E37)-1</f>
        <v>0.28799563038807863</v>
      </c>
      <c r="H39" s="6">
        <f>+(H37/E37)-1</f>
        <v>0.28800626684091779</v>
      </c>
    </row>
    <row r="42" spans="1:8" x14ac:dyDescent="0.3">
      <c r="A42" s="7"/>
      <c r="B42" s="8" t="s">
        <v>34</v>
      </c>
    </row>
    <row r="43" spans="1:8" x14ac:dyDescent="0.3">
      <c r="A43" s="7">
        <f>+A39+1</f>
        <v>26</v>
      </c>
      <c r="B43" t="s">
        <v>32</v>
      </c>
      <c r="C43" s="64">
        <v>422054</v>
      </c>
      <c r="D43" s="48" t="s">
        <v>33</v>
      </c>
    </row>
    <row r="44" spans="1:8" x14ac:dyDescent="0.3">
      <c r="A44" s="7">
        <f>+A43+1</f>
        <v>27</v>
      </c>
      <c r="B44" t="s">
        <v>15</v>
      </c>
      <c r="C44" s="6">
        <v>1.05</v>
      </c>
    </row>
    <row r="45" spans="1:8" ht="16.5" customHeight="1" x14ac:dyDescent="0.3">
      <c r="A45" s="7">
        <f>+A44+1</f>
        <v>28</v>
      </c>
      <c r="B45" t="s">
        <v>16</v>
      </c>
      <c r="C45" s="2">
        <f>+C43*C44</f>
        <v>443156.7</v>
      </c>
    </row>
    <row r="46" spans="1:8" x14ac:dyDescent="0.3">
      <c r="A46" s="7"/>
      <c r="C46" s="12"/>
      <c r="D46" s="13" t="s">
        <v>22</v>
      </c>
      <c r="E46" s="13"/>
      <c r="F46" s="2"/>
      <c r="G46" s="13" t="s">
        <v>29</v>
      </c>
      <c r="H46" s="13"/>
    </row>
    <row r="47" spans="1:8" ht="12" customHeight="1" x14ac:dyDescent="0.3">
      <c r="A47" s="7"/>
      <c r="C47" s="14" t="s">
        <v>19</v>
      </c>
      <c r="D47" s="14" t="s">
        <v>20</v>
      </c>
      <c r="E47" s="15" t="s">
        <v>21</v>
      </c>
      <c r="F47" s="7"/>
      <c r="G47" s="14" t="s">
        <v>20</v>
      </c>
      <c r="H47" s="15" t="s">
        <v>21</v>
      </c>
    </row>
    <row r="48" spans="1:8" x14ac:dyDescent="0.3">
      <c r="A48" s="7"/>
    </row>
    <row r="49" spans="1:9" x14ac:dyDescent="0.3">
      <c r="A49" s="7">
        <f>+A45+1</f>
        <v>29</v>
      </c>
      <c r="B49" t="s">
        <v>26</v>
      </c>
      <c r="C49" s="63">
        <f>472*12</f>
        <v>5664</v>
      </c>
      <c r="D49" s="1">
        <v>10.45</v>
      </c>
      <c r="E49" s="3">
        <f>+$C49*D49</f>
        <v>59188.799999999996</v>
      </c>
      <c r="F49" s="4"/>
      <c r="G49" s="61">
        <v>13.4</v>
      </c>
      <c r="H49" s="3">
        <f>+$C49*G49</f>
        <v>75897.600000000006</v>
      </c>
      <c r="I49" s="83">
        <f>G49/D49</f>
        <v>1.2822966507177034</v>
      </c>
    </row>
    <row r="50" spans="1:9" x14ac:dyDescent="0.3">
      <c r="A50" s="7">
        <f>+A49+1</f>
        <v>30</v>
      </c>
      <c r="B50" t="s">
        <v>27</v>
      </c>
      <c r="C50" s="63">
        <v>5537410</v>
      </c>
      <c r="D50" s="10">
        <v>5.24</v>
      </c>
      <c r="E50" s="11">
        <f>+$C50*D50/100</f>
        <v>290160.28400000004</v>
      </c>
      <c r="F50" s="4"/>
      <c r="G50" s="65">
        <v>6.7210000000000001</v>
      </c>
      <c r="H50" s="11">
        <f>+$C50*G50/100</f>
        <v>372169.32610000001</v>
      </c>
      <c r="I50" s="83">
        <f>G50/D50</f>
        <v>1.2826335877862596</v>
      </c>
    </row>
    <row r="51" spans="1:9" x14ac:dyDescent="0.3">
      <c r="A51" s="7">
        <f>+A50+1</f>
        <v>31</v>
      </c>
      <c r="B51" t="s">
        <v>25</v>
      </c>
      <c r="E51" s="48">
        <f>-7437+3611</f>
        <v>-3826</v>
      </c>
      <c r="F51" s="17"/>
      <c r="H51" s="2">
        <f>+(E51/(E49+E50)*(H49+H50))</f>
        <v>-4907.1376962837548</v>
      </c>
    </row>
    <row r="52" spans="1:9" ht="15" thickBot="1" x14ac:dyDescent="0.35">
      <c r="A52" s="7">
        <f>+A51+1</f>
        <v>32</v>
      </c>
      <c r="B52" t="s">
        <v>28</v>
      </c>
      <c r="E52" s="16">
        <f>+E49+E50+E51</f>
        <v>345523.08400000003</v>
      </c>
      <c r="F52" s="52" t="s">
        <v>72</v>
      </c>
      <c r="H52" s="16">
        <f>+H49+H50+H51</f>
        <v>443159.78840371629</v>
      </c>
    </row>
    <row r="53" spans="1:9" ht="15" thickTop="1" x14ac:dyDescent="0.3">
      <c r="A53" s="7">
        <f>+A52+1</f>
        <v>33</v>
      </c>
      <c r="B53" t="s">
        <v>31</v>
      </c>
      <c r="H53" s="3">
        <f>+H52-C45</f>
        <v>3.0884037162759341</v>
      </c>
    </row>
    <row r="54" spans="1:9" x14ac:dyDescent="0.3">
      <c r="A54" s="7">
        <f>+A53+1</f>
        <v>34</v>
      </c>
      <c r="B54" t="s">
        <v>30</v>
      </c>
      <c r="E54" s="82">
        <f>+(C45/E52)-1</f>
        <v>0.28256756356110779</v>
      </c>
      <c r="H54" s="6">
        <f>+(H52/E52)-1</f>
        <v>0.28257650190375205</v>
      </c>
    </row>
    <row r="56" spans="1:9" x14ac:dyDescent="0.3">
      <c r="A56" s="7"/>
      <c r="B56" s="8" t="s">
        <v>35</v>
      </c>
    </row>
    <row r="57" spans="1:9" x14ac:dyDescent="0.3">
      <c r="A57" s="7">
        <f>+A53+1</f>
        <v>34</v>
      </c>
      <c r="B57" t="s">
        <v>32</v>
      </c>
      <c r="C57" s="64">
        <v>2248490</v>
      </c>
      <c r="D57" s="48" t="s">
        <v>68</v>
      </c>
    </row>
    <row r="58" spans="1:9" x14ac:dyDescent="0.3">
      <c r="A58" s="7">
        <f>+A57+1</f>
        <v>35</v>
      </c>
      <c r="B58" t="s">
        <v>15</v>
      </c>
      <c r="C58" s="6">
        <v>1.1035622739083899</v>
      </c>
    </row>
    <row r="59" spans="1:9" ht="16.5" customHeight="1" x14ac:dyDescent="0.3">
      <c r="A59" s="7">
        <f>+A58+1</f>
        <v>36</v>
      </c>
      <c r="B59" t="s">
        <v>16</v>
      </c>
      <c r="C59" s="2">
        <f>+C57*C58</f>
        <v>2481348.7372602755</v>
      </c>
    </row>
    <row r="61" spans="1:9" x14ac:dyDescent="0.3">
      <c r="C61" s="12"/>
      <c r="D61" s="13" t="s">
        <v>22</v>
      </c>
      <c r="E61" s="13"/>
      <c r="F61" s="2"/>
      <c r="G61" s="13" t="s">
        <v>29</v>
      </c>
      <c r="H61" s="13"/>
    </row>
    <row r="62" spans="1:9" x14ac:dyDescent="0.3">
      <c r="A62" s="7"/>
      <c r="B62" s="8"/>
      <c r="C62" s="14" t="s">
        <v>19</v>
      </c>
      <c r="D62" s="14" t="s">
        <v>20</v>
      </c>
      <c r="E62" s="15" t="s">
        <v>21</v>
      </c>
      <c r="F62" s="7"/>
      <c r="G62" s="14" t="s">
        <v>20</v>
      </c>
      <c r="H62" s="15" t="s">
        <v>21</v>
      </c>
    </row>
    <row r="63" spans="1:9" x14ac:dyDescent="0.3">
      <c r="A63">
        <f>+A59+1</f>
        <v>37</v>
      </c>
      <c r="B63" t="s">
        <v>36</v>
      </c>
      <c r="C63" s="49">
        <v>67498510</v>
      </c>
      <c r="D63" s="10">
        <v>2.4329999999999998</v>
      </c>
      <c r="E63" s="19">
        <f>+$C63*D63/100</f>
        <v>1642238.7482999999</v>
      </c>
      <c r="F63" s="20"/>
      <c r="G63" s="60">
        <v>2.89</v>
      </c>
      <c r="H63" s="19">
        <f>+$C63*G63/100</f>
        <v>1950706.939</v>
      </c>
      <c r="I63" s="83">
        <f>G63/D63</f>
        <v>1.1878339498561448</v>
      </c>
    </row>
    <row r="64" spans="1:9" x14ac:dyDescent="0.3">
      <c r="A64">
        <f>+A63+1</f>
        <v>38</v>
      </c>
      <c r="B64" t="s">
        <v>37</v>
      </c>
      <c r="C64" s="48">
        <v>207060</v>
      </c>
      <c r="D64" s="1">
        <v>2.2000000000000002</v>
      </c>
      <c r="E64" s="2">
        <f>+$C64*D64</f>
        <v>455532.00000000006</v>
      </c>
      <c r="G64" s="59">
        <v>2.6</v>
      </c>
      <c r="H64" s="2">
        <f>+$C64*G64</f>
        <v>538356</v>
      </c>
      <c r="I64" s="83">
        <f>G64/D64</f>
        <v>1.1818181818181817</v>
      </c>
    </row>
    <row r="65" spans="1:8" x14ac:dyDescent="0.3">
      <c r="A65">
        <f t="shared" ref="A65:A72" si="1">+A64+1</f>
        <v>39</v>
      </c>
      <c r="B65" t="s">
        <v>38</v>
      </c>
      <c r="C65" s="48">
        <v>90180</v>
      </c>
      <c r="D65" s="1">
        <v>6.8</v>
      </c>
      <c r="E65" s="19">
        <f>+$C65*D65/100</f>
        <v>6132.24</v>
      </c>
      <c r="G65" s="4">
        <f>+D65</f>
        <v>6.8</v>
      </c>
      <c r="H65" s="19">
        <f>+$C65*G65/100</f>
        <v>6132.24</v>
      </c>
    </row>
    <row r="66" spans="1:8" x14ac:dyDescent="0.3">
      <c r="A66">
        <f t="shared" si="1"/>
        <v>40</v>
      </c>
      <c r="B66" t="s">
        <v>42</v>
      </c>
      <c r="C66" s="48">
        <f>SUM('[2]Det Rev Production Curr Rates'!$E$232:$P$232)</f>
        <v>59</v>
      </c>
      <c r="D66" s="1">
        <v>20</v>
      </c>
      <c r="E66" s="2">
        <f>+$C66*D66</f>
        <v>1180</v>
      </c>
      <c r="G66" s="4">
        <f>+D66</f>
        <v>20</v>
      </c>
      <c r="H66" s="2">
        <f>+$C66*G66</f>
        <v>1180</v>
      </c>
    </row>
    <row r="67" spans="1:8" x14ac:dyDescent="0.3">
      <c r="A67">
        <f t="shared" si="1"/>
        <v>41</v>
      </c>
      <c r="B67" t="s">
        <v>39</v>
      </c>
      <c r="C67" s="48">
        <f>E67/D67</f>
        <v>5660.9523809523807</v>
      </c>
      <c r="D67" s="50">
        <v>1.05</v>
      </c>
      <c r="E67" s="49">
        <v>5944</v>
      </c>
      <c r="G67" s="4">
        <f>+D67</f>
        <v>1.05</v>
      </c>
      <c r="H67" s="2">
        <f>+$C67*G67</f>
        <v>5944</v>
      </c>
    </row>
    <row r="68" spans="1:8" x14ac:dyDescent="0.3">
      <c r="A68">
        <f t="shared" si="1"/>
        <v>42</v>
      </c>
      <c r="B68" t="s">
        <v>40</v>
      </c>
      <c r="C68" s="48">
        <f>E68/D68</f>
        <v>10116</v>
      </c>
      <c r="D68" s="18">
        <v>-0.25</v>
      </c>
      <c r="E68" s="2">
        <f>-2529</f>
        <v>-2529</v>
      </c>
      <c r="G68" s="4">
        <f>+D68</f>
        <v>-0.25</v>
      </c>
      <c r="H68" s="2">
        <f>+$C68*G68</f>
        <v>-2529</v>
      </c>
    </row>
    <row r="69" spans="1:8" x14ac:dyDescent="0.3">
      <c r="A69">
        <f t="shared" si="1"/>
        <v>43</v>
      </c>
      <c r="B69" t="s">
        <v>25</v>
      </c>
      <c r="E69" s="48">
        <f>-31001+15179</f>
        <v>-15822</v>
      </c>
      <c r="H69" s="1">
        <f>+(E69/(SUM(E63:E68)))*SUM(H63:H68)</f>
        <v>-18758.225254000354</v>
      </c>
    </row>
    <row r="70" spans="1:8" ht="15" thickBot="1" x14ac:dyDescent="0.35">
      <c r="A70">
        <f t="shared" si="1"/>
        <v>44</v>
      </c>
      <c r="B70" t="s">
        <v>41</v>
      </c>
      <c r="E70" s="21">
        <f>SUM(E63:E69)</f>
        <v>2092675.9883000003</v>
      </c>
      <c r="F70" s="52" t="s">
        <v>72</v>
      </c>
      <c r="H70" s="21">
        <f>SUM(H63:H69)</f>
        <v>2481031.9537460003</v>
      </c>
    </row>
    <row r="71" spans="1:8" ht="15" thickTop="1" x14ac:dyDescent="0.3">
      <c r="A71">
        <f t="shared" si="1"/>
        <v>45</v>
      </c>
      <c r="B71" t="s">
        <v>31</v>
      </c>
      <c r="H71" s="3">
        <f>+H70-C59</f>
        <v>-316.78351427521557</v>
      </c>
    </row>
    <row r="72" spans="1:8" x14ac:dyDescent="0.3">
      <c r="A72">
        <f t="shared" si="1"/>
        <v>46</v>
      </c>
      <c r="B72" t="s">
        <v>30</v>
      </c>
      <c r="E72" s="86">
        <f>+(C59/E70)-1</f>
        <v>0.18573001799290312</v>
      </c>
      <c r="H72" s="6">
        <f>+(H70/E70)-1</f>
        <v>0.18557864075340369</v>
      </c>
    </row>
    <row r="73" spans="1:8" x14ac:dyDescent="0.3">
      <c r="E73" t="s">
        <v>75</v>
      </c>
    </row>
    <row r="74" spans="1:8" x14ac:dyDescent="0.3">
      <c r="A74" s="7"/>
      <c r="B74" s="8" t="s">
        <v>44</v>
      </c>
    </row>
    <row r="75" spans="1:8" x14ac:dyDescent="0.3">
      <c r="A75" s="7">
        <f>+A71+1</f>
        <v>46</v>
      </c>
      <c r="B75" t="s">
        <v>32</v>
      </c>
      <c r="C75" s="64">
        <v>3327513</v>
      </c>
      <c r="D75" s="48" t="s">
        <v>69</v>
      </c>
    </row>
    <row r="76" spans="1:8" x14ac:dyDescent="0.3">
      <c r="A76" s="7">
        <f>+A75+1</f>
        <v>47</v>
      </c>
      <c r="B76" t="s">
        <v>15</v>
      </c>
      <c r="C76" s="6">
        <v>1.1035622739083899</v>
      </c>
    </row>
    <row r="77" spans="1:8" ht="16.5" customHeight="1" x14ac:dyDescent="0.3">
      <c r="A77" s="7">
        <f>+A76+1</f>
        <v>48</v>
      </c>
      <c r="B77" t="s">
        <v>16</v>
      </c>
      <c r="C77" s="2">
        <f>+C75*C76</f>
        <v>3672117.812739728</v>
      </c>
      <c r="F77" s="7"/>
    </row>
    <row r="79" spans="1:8" x14ac:dyDescent="0.3">
      <c r="C79" s="12"/>
      <c r="D79" s="13" t="s">
        <v>22</v>
      </c>
      <c r="E79" s="13"/>
      <c r="F79" s="2"/>
      <c r="G79" s="13" t="s">
        <v>29</v>
      </c>
      <c r="H79" s="13"/>
    </row>
    <row r="80" spans="1:8" x14ac:dyDescent="0.3">
      <c r="A80" s="45"/>
      <c r="B80" s="8"/>
      <c r="C80" s="14" t="s">
        <v>19</v>
      </c>
      <c r="D80" s="14" t="s">
        <v>20</v>
      </c>
      <c r="E80" s="15" t="s">
        <v>21</v>
      </c>
      <c r="G80" s="14" t="s">
        <v>20</v>
      </c>
      <c r="H80" s="15" t="s">
        <v>21</v>
      </c>
    </row>
    <row r="81" spans="1:8" x14ac:dyDescent="0.3">
      <c r="A81" s="45">
        <f>+A77+1</f>
        <v>49</v>
      </c>
      <c r="B81" t="s">
        <v>36</v>
      </c>
      <c r="C81" s="48">
        <v>109912220</v>
      </c>
      <c r="D81" s="10">
        <v>2.1030000000000002</v>
      </c>
      <c r="E81" s="19">
        <f>+$C81*D81/100</f>
        <v>2311453.9866000004</v>
      </c>
      <c r="F81" s="20"/>
      <c r="G81" s="60">
        <v>2.617</v>
      </c>
      <c r="H81" s="19">
        <f>+$C81*G81/100</f>
        <v>2876402.7974</v>
      </c>
    </row>
    <row r="82" spans="1:8" x14ac:dyDescent="0.3">
      <c r="A82" s="45">
        <f>+A81+1</f>
        <v>50</v>
      </c>
      <c r="B82" t="s">
        <v>37</v>
      </c>
      <c r="C82" s="48">
        <v>327670</v>
      </c>
      <c r="D82" s="1">
        <v>2</v>
      </c>
      <c r="E82" s="2">
        <f>+$C82*D82</f>
        <v>655340</v>
      </c>
      <c r="G82" s="59">
        <v>2.5</v>
      </c>
      <c r="H82" s="2">
        <f>+$C82*G82</f>
        <v>819175</v>
      </c>
    </row>
    <row r="83" spans="1:8" x14ac:dyDescent="0.3">
      <c r="A83" s="45">
        <f t="shared" ref="A83:A90" si="2">+A82+1</f>
        <v>51</v>
      </c>
      <c r="B83" t="s">
        <v>38</v>
      </c>
      <c r="C83" s="48">
        <v>62200</v>
      </c>
      <c r="D83" s="1">
        <v>6.8</v>
      </c>
      <c r="E83" s="19">
        <f>+$C83*D83/100</f>
        <v>4229.6000000000004</v>
      </c>
      <c r="G83" s="4">
        <f>+D83</f>
        <v>6.8</v>
      </c>
      <c r="H83" s="19">
        <f>+$C83*G83/100</f>
        <v>4229.6000000000004</v>
      </c>
    </row>
    <row r="84" spans="1:8" x14ac:dyDescent="0.3">
      <c r="A84" s="45">
        <f t="shared" si="2"/>
        <v>52</v>
      </c>
      <c r="B84" t="s">
        <v>42</v>
      </c>
      <c r="C84" s="47"/>
      <c r="D84" s="1"/>
      <c r="E84" s="2">
        <f>+$C84*D84</f>
        <v>0</v>
      </c>
      <c r="G84" s="4">
        <f>+D84</f>
        <v>0</v>
      </c>
      <c r="H84" s="2">
        <f>+$C84*G84</f>
        <v>0</v>
      </c>
    </row>
    <row r="85" spans="1:8" x14ac:dyDescent="0.3">
      <c r="A85" s="45">
        <f t="shared" si="2"/>
        <v>53</v>
      </c>
      <c r="B85" t="s">
        <v>43</v>
      </c>
      <c r="C85" s="48">
        <f>E85/D85</f>
        <v>11482.857142857143</v>
      </c>
      <c r="D85" s="1">
        <v>1.05</v>
      </c>
      <c r="E85" s="2">
        <v>12057</v>
      </c>
      <c r="G85" s="4">
        <f>+D85</f>
        <v>1.05</v>
      </c>
      <c r="H85" s="2">
        <f>+$C85*G85</f>
        <v>12057</v>
      </c>
    </row>
    <row r="86" spans="1:8" x14ac:dyDescent="0.3">
      <c r="A86" s="45">
        <f t="shared" si="2"/>
        <v>54</v>
      </c>
      <c r="B86" t="s">
        <v>40</v>
      </c>
      <c r="C86" s="48">
        <f>E86/D86</f>
        <v>50800</v>
      </c>
      <c r="D86" s="18">
        <v>-0.25</v>
      </c>
      <c r="E86" s="2">
        <v>-12700</v>
      </c>
      <c r="G86" s="4">
        <f>+D86</f>
        <v>-0.25</v>
      </c>
      <c r="H86" s="2">
        <f>+$C86*G86</f>
        <v>-12700</v>
      </c>
    </row>
    <row r="87" spans="1:8" x14ac:dyDescent="0.3">
      <c r="A87" s="45">
        <f t="shared" si="2"/>
        <v>55</v>
      </c>
      <c r="B87" t="s">
        <v>25</v>
      </c>
      <c r="E87" s="48">
        <f>-44822+23284</f>
        <v>-21538</v>
      </c>
      <c r="H87" s="1">
        <f>+(E87/(SUM(E81:E86)))*SUM(H81:H86)</f>
        <v>-26822.355071474933</v>
      </c>
    </row>
    <row r="88" spans="1:8" ht="15" thickBot="1" x14ac:dyDescent="0.35">
      <c r="A88" s="45">
        <f t="shared" si="2"/>
        <v>56</v>
      </c>
      <c r="B88" t="s">
        <v>41</v>
      </c>
      <c r="E88" s="21">
        <f>SUM(E81:E87)</f>
        <v>2948842.5866000005</v>
      </c>
      <c r="F88" s="52" t="s">
        <v>72</v>
      </c>
      <c r="H88" s="21">
        <f>SUM(H81:H87)</f>
        <v>3672342.0423285253</v>
      </c>
    </row>
    <row r="89" spans="1:8" ht="15" thickTop="1" x14ac:dyDescent="0.3">
      <c r="A89" s="45">
        <f t="shared" si="2"/>
        <v>57</v>
      </c>
      <c r="B89" t="s">
        <v>31</v>
      </c>
      <c r="H89" s="3">
        <f>+H88-C77</f>
        <v>224.22958879731596</v>
      </c>
    </row>
    <row r="90" spans="1:8" x14ac:dyDescent="0.3">
      <c r="A90" s="45">
        <f t="shared" si="2"/>
        <v>58</v>
      </c>
      <c r="B90" t="s">
        <v>30</v>
      </c>
      <c r="E90" s="22">
        <f>+(C77/E88)-1</f>
        <v>0.2452742745327956</v>
      </c>
      <c r="H90" s="6">
        <f>+(H88/E88)-1</f>
        <v>0.24535031439664468</v>
      </c>
    </row>
    <row r="91" spans="1:8" x14ac:dyDescent="0.3">
      <c r="A91" s="45"/>
    </row>
    <row r="92" spans="1:8" x14ac:dyDescent="0.3">
      <c r="A92" s="45"/>
    </row>
    <row r="93" spans="1:8" x14ac:dyDescent="0.3">
      <c r="A93" s="45"/>
      <c r="B93" s="8" t="s">
        <v>45</v>
      </c>
    </row>
    <row r="94" spans="1:8" x14ac:dyDescent="0.3">
      <c r="A94" s="45">
        <f>+A90+1</f>
        <v>59</v>
      </c>
      <c r="B94" t="s">
        <v>32</v>
      </c>
      <c r="C94" s="64">
        <v>2318013</v>
      </c>
      <c r="D94" s="48" t="s">
        <v>70</v>
      </c>
    </row>
    <row r="95" spans="1:8" x14ac:dyDescent="0.3">
      <c r="A95" s="45">
        <f>+A94+1</f>
        <v>60</v>
      </c>
      <c r="B95" t="s">
        <v>15</v>
      </c>
      <c r="C95" s="6">
        <v>1.05</v>
      </c>
      <c r="H95" s="4"/>
    </row>
    <row r="96" spans="1:8" ht="16.5" customHeight="1" x14ac:dyDescent="0.3">
      <c r="A96" s="45">
        <f>+A95+1</f>
        <v>61</v>
      </c>
      <c r="B96" t="s">
        <v>16</v>
      </c>
      <c r="C96" s="2">
        <f>+C94*C95</f>
        <v>2433913.65</v>
      </c>
    </row>
    <row r="97" spans="1:9" x14ac:dyDescent="0.3">
      <c r="A97" s="45"/>
    </row>
    <row r="98" spans="1:9" x14ac:dyDescent="0.3">
      <c r="A98" s="45"/>
      <c r="C98" s="12"/>
      <c r="D98" s="13" t="s">
        <v>22</v>
      </c>
      <c r="E98" s="13"/>
      <c r="F98" s="2"/>
      <c r="G98" s="87" t="s">
        <v>29</v>
      </c>
      <c r="H98" s="87"/>
    </row>
    <row r="99" spans="1:9" x14ac:dyDescent="0.3">
      <c r="A99" s="45"/>
      <c r="B99" s="8"/>
      <c r="C99" s="14" t="s">
        <v>19</v>
      </c>
      <c r="D99" s="14" t="s">
        <v>20</v>
      </c>
      <c r="E99" s="15" t="s">
        <v>21</v>
      </c>
      <c r="F99" s="7"/>
      <c r="G99" s="88" t="s">
        <v>20</v>
      </c>
      <c r="H99" s="89" t="s">
        <v>21</v>
      </c>
    </row>
    <row r="100" spans="1:9" x14ac:dyDescent="0.3">
      <c r="A100" s="45">
        <f>+A96+1</f>
        <v>62</v>
      </c>
      <c r="B100" t="s">
        <v>36</v>
      </c>
      <c r="C100" s="49">
        <f>79753000</f>
        <v>79753000</v>
      </c>
      <c r="D100" s="10">
        <v>1.7330000000000001</v>
      </c>
      <c r="E100" s="19">
        <f>+$C100*D100/100</f>
        <v>1382119.49</v>
      </c>
      <c r="F100" s="20"/>
      <c r="G100" s="90">
        <v>2.6240000000000001</v>
      </c>
      <c r="H100" s="91">
        <f>+$C100*G100/100</f>
        <v>2092718.72</v>
      </c>
    </row>
    <row r="101" spans="1:9" x14ac:dyDescent="0.3">
      <c r="A101" s="45">
        <f>+A100+1</f>
        <v>63</v>
      </c>
      <c r="B101" t="s">
        <v>37</v>
      </c>
      <c r="C101" s="48">
        <f>159808</f>
        <v>159808</v>
      </c>
      <c r="D101" s="1">
        <v>1.75</v>
      </c>
      <c r="E101" s="2">
        <f>+$C101*D101</f>
        <v>279664</v>
      </c>
      <c r="F101" s="4"/>
      <c r="G101" s="92">
        <v>2.4</v>
      </c>
      <c r="H101" s="93">
        <f>+$C101*G101</f>
        <v>383539.20000000001</v>
      </c>
    </row>
    <row r="102" spans="1:9" x14ac:dyDescent="0.3">
      <c r="A102" s="45">
        <f t="shared" ref="A102:A109" si="3">+A101+1</f>
        <v>64</v>
      </c>
      <c r="B102" t="s">
        <v>38</v>
      </c>
      <c r="C102" s="84"/>
      <c r="D102" s="1">
        <v>6.8</v>
      </c>
      <c r="E102" s="19">
        <f>+$C102*D102/100</f>
        <v>0</v>
      </c>
      <c r="G102" s="94">
        <f>+D102</f>
        <v>6.8</v>
      </c>
      <c r="H102" s="91">
        <f>+$C102*G102/100</f>
        <v>0</v>
      </c>
    </row>
    <row r="103" spans="1:9" s="77" customFormat="1" x14ac:dyDescent="0.3">
      <c r="A103" s="76">
        <f t="shared" si="3"/>
        <v>65</v>
      </c>
      <c r="B103" s="77" t="s">
        <v>42</v>
      </c>
      <c r="C103" s="85"/>
      <c r="D103" s="78"/>
      <c r="E103" s="79">
        <f>+$C103*D103</f>
        <v>0</v>
      </c>
      <c r="G103" s="94">
        <f>+D103</f>
        <v>0</v>
      </c>
      <c r="H103" s="93">
        <f>+$C103*G103</f>
        <v>0</v>
      </c>
      <c r="I103" s="55"/>
    </row>
    <row r="104" spans="1:9" x14ac:dyDescent="0.3">
      <c r="A104" s="45">
        <f t="shared" si="3"/>
        <v>66</v>
      </c>
      <c r="B104" t="s">
        <v>43</v>
      </c>
      <c r="C104" s="47"/>
      <c r="D104" s="1">
        <v>1.05</v>
      </c>
      <c r="E104" s="2">
        <f>+$C104*D104</f>
        <v>0</v>
      </c>
      <c r="G104" s="94">
        <f>+D104</f>
        <v>1.05</v>
      </c>
      <c r="H104" s="93">
        <f>+$C104*G104</f>
        <v>0</v>
      </c>
    </row>
    <row r="105" spans="1:9" x14ac:dyDescent="0.3">
      <c r="A105" s="45">
        <f t="shared" si="3"/>
        <v>67</v>
      </c>
      <c r="B105" t="s">
        <v>40</v>
      </c>
      <c r="C105" s="48">
        <f>E105/D105</f>
        <v>128312</v>
      </c>
      <c r="D105" s="18">
        <v>-0.25</v>
      </c>
      <c r="E105" s="2">
        <v>-32078</v>
      </c>
      <c r="G105" s="94">
        <f>+D105</f>
        <v>-0.25</v>
      </c>
      <c r="H105" s="93">
        <f>+$C105*G105</f>
        <v>-32078</v>
      </c>
    </row>
    <row r="106" spans="1:9" x14ac:dyDescent="0.3">
      <c r="A106" s="45">
        <f t="shared" si="3"/>
        <v>68</v>
      </c>
      <c r="B106" t="s">
        <v>25</v>
      </c>
      <c r="E106" s="48">
        <f>-17082+10043</f>
        <v>-7039</v>
      </c>
      <c r="G106" s="95"/>
      <c r="H106" s="96">
        <f>+(E106/(SUM(E100:E105)))*SUM(H100:H105)</f>
        <v>-10556.86598741224</v>
      </c>
    </row>
    <row r="107" spans="1:9" ht="15" thickBot="1" x14ac:dyDescent="0.35">
      <c r="A107" s="45">
        <f t="shared" si="3"/>
        <v>69</v>
      </c>
      <c r="B107" t="s">
        <v>41</v>
      </c>
      <c r="E107" s="21">
        <f>SUM(E100:E106)</f>
        <v>1622666.49</v>
      </c>
      <c r="F107" s="55" t="s">
        <v>72</v>
      </c>
      <c r="G107" s="95"/>
      <c r="H107" s="97">
        <f>SUM(H100:H106)</f>
        <v>2433623.0540125878</v>
      </c>
    </row>
    <row r="108" spans="1:9" ht="15" thickTop="1" x14ac:dyDescent="0.3">
      <c r="A108" s="45">
        <f t="shared" si="3"/>
        <v>70</v>
      </c>
      <c r="B108" t="s">
        <v>31</v>
      </c>
      <c r="G108" s="95"/>
      <c r="H108" s="98">
        <f>+H107-C96</f>
        <v>-290.59598741214722</v>
      </c>
    </row>
    <row r="109" spans="1:9" x14ac:dyDescent="0.3">
      <c r="A109" s="45">
        <f t="shared" si="3"/>
        <v>71</v>
      </c>
      <c r="B109" t="s">
        <v>30</v>
      </c>
      <c r="E109" s="94">
        <f>+(C96/E107)-1</f>
        <v>0.49994694843300791</v>
      </c>
      <c r="G109" s="95"/>
      <c r="H109" s="99">
        <f>+(H107/E107)-1</f>
        <v>0.49976786296522824</v>
      </c>
    </row>
    <row r="110" spans="1:9" x14ac:dyDescent="0.3">
      <c r="A110" s="45"/>
    </row>
    <row r="111" spans="1:9" x14ac:dyDescent="0.3">
      <c r="A111" s="45"/>
      <c r="B111" s="23" t="s">
        <v>10</v>
      </c>
      <c r="D111" s="2" t="s">
        <v>49</v>
      </c>
      <c r="E111" t="s">
        <v>50</v>
      </c>
      <c r="F111" t="s">
        <v>28</v>
      </c>
    </row>
    <row r="112" spans="1:9" x14ac:dyDescent="0.3">
      <c r="A112" s="45"/>
      <c r="B112" s="24" t="s">
        <v>74</v>
      </c>
      <c r="C112" s="24"/>
      <c r="D112" s="25"/>
      <c r="E112" s="25"/>
      <c r="F112" s="25" t="s">
        <v>56</v>
      </c>
      <c r="G112" s="25"/>
      <c r="H112" s="25"/>
      <c r="I112" s="66"/>
    </row>
    <row r="113" spans="1:9" x14ac:dyDescent="0.3">
      <c r="A113" s="45"/>
      <c r="C113"/>
      <c r="D113" t="s">
        <v>57</v>
      </c>
      <c r="E113" t="s">
        <v>58</v>
      </c>
      <c r="F113" t="s">
        <v>59</v>
      </c>
      <c r="G113" t="s">
        <v>60</v>
      </c>
      <c r="H113" t="s">
        <v>61</v>
      </c>
      <c r="I113" s="52" t="s">
        <v>62</v>
      </c>
    </row>
    <row r="114" spans="1:9" x14ac:dyDescent="0.3">
      <c r="A114" s="45">
        <f>+A109+1</f>
        <v>72</v>
      </c>
      <c r="B114" s="35" t="s">
        <v>46</v>
      </c>
      <c r="C114" s="35"/>
      <c r="D114" s="32">
        <v>904</v>
      </c>
      <c r="E114" s="33">
        <v>10</v>
      </c>
      <c r="F114" s="29">
        <f>D114*E114</f>
        <v>9040</v>
      </c>
      <c r="G114" s="29">
        <v>45</v>
      </c>
      <c r="H114" s="29">
        <f>D114*G114</f>
        <v>40680</v>
      </c>
      <c r="I114" s="67"/>
    </row>
    <row r="115" spans="1:9" x14ac:dyDescent="0.3">
      <c r="A115" s="45">
        <f t="shared" ref="A115:A121" si="4">+A114+1</f>
        <v>73</v>
      </c>
      <c r="B115" s="35" t="s">
        <v>51</v>
      </c>
      <c r="C115" s="35"/>
      <c r="D115" s="32">
        <v>0</v>
      </c>
      <c r="E115" s="33">
        <v>0</v>
      </c>
      <c r="F115" s="29">
        <f t="shared" ref="F115:F120" si="5">D115*E115</f>
        <v>0</v>
      </c>
      <c r="G115" s="29">
        <v>67</v>
      </c>
      <c r="H115" s="29">
        <f t="shared" ref="H115:H120" si="6">D115*G115</f>
        <v>0</v>
      </c>
      <c r="I115" s="67"/>
    </row>
    <row r="116" spans="1:9" x14ac:dyDescent="0.3">
      <c r="A116" s="45">
        <f t="shared" si="4"/>
        <v>74</v>
      </c>
      <c r="B116" s="35" t="s">
        <v>52</v>
      </c>
      <c r="C116" s="35"/>
      <c r="D116" s="32">
        <v>0</v>
      </c>
      <c r="E116" s="33">
        <v>0</v>
      </c>
      <c r="F116" s="29">
        <f t="shared" si="5"/>
        <v>0</v>
      </c>
      <c r="G116" s="29">
        <v>99</v>
      </c>
      <c r="H116" s="29">
        <f t="shared" si="6"/>
        <v>0</v>
      </c>
      <c r="I116" s="67"/>
    </row>
    <row r="117" spans="1:9" x14ac:dyDescent="0.3">
      <c r="A117" s="45">
        <f t="shared" si="4"/>
        <v>75</v>
      </c>
      <c r="B117" s="35" t="s">
        <v>53</v>
      </c>
      <c r="C117" s="35"/>
      <c r="D117" s="32">
        <v>12</v>
      </c>
      <c r="E117" s="33">
        <v>23</v>
      </c>
      <c r="F117" s="29">
        <f t="shared" si="5"/>
        <v>276</v>
      </c>
      <c r="G117" s="29">
        <v>166</v>
      </c>
      <c r="H117" s="29">
        <f t="shared" si="6"/>
        <v>1992</v>
      </c>
      <c r="I117" s="67"/>
    </row>
    <row r="118" spans="1:9" x14ac:dyDescent="0.3">
      <c r="A118" s="45">
        <f t="shared" si="4"/>
        <v>76</v>
      </c>
      <c r="B118" s="35" t="s">
        <v>47</v>
      </c>
      <c r="C118" s="35"/>
      <c r="D118" s="32">
        <v>339</v>
      </c>
      <c r="E118" s="33">
        <v>13.5</v>
      </c>
      <c r="F118" s="29">
        <f t="shared" si="5"/>
        <v>4576.5</v>
      </c>
      <c r="G118" s="29">
        <v>99</v>
      </c>
      <c r="H118" s="29">
        <f t="shared" si="6"/>
        <v>33561</v>
      </c>
      <c r="I118" s="67"/>
    </row>
    <row r="119" spans="1:9" x14ac:dyDescent="0.3">
      <c r="A119" s="45">
        <f t="shared" si="4"/>
        <v>77</v>
      </c>
      <c r="B119" s="35" t="s">
        <v>54</v>
      </c>
      <c r="C119" s="35"/>
      <c r="D119" s="32">
        <v>0</v>
      </c>
      <c r="E119" s="33">
        <v>0</v>
      </c>
      <c r="F119" s="29">
        <f t="shared" si="5"/>
        <v>0</v>
      </c>
      <c r="G119" s="29">
        <v>166</v>
      </c>
      <c r="H119" s="29">
        <f t="shared" si="6"/>
        <v>0</v>
      </c>
      <c r="I119" s="67"/>
    </row>
    <row r="120" spans="1:9" x14ac:dyDescent="0.3">
      <c r="A120" s="45">
        <f t="shared" si="4"/>
        <v>78</v>
      </c>
      <c r="B120" s="36" t="s">
        <v>48</v>
      </c>
      <c r="C120" s="36"/>
      <c r="D120" s="32">
        <v>350</v>
      </c>
      <c r="E120" s="33">
        <v>3.4</v>
      </c>
      <c r="F120" s="30">
        <f t="shared" si="5"/>
        <v>1190</v>
      </c>
      <c r="G120" s="30">
        <v>0</v>
      </c>
      <c r="H120" s="30">
        <f t="shared" si="6"/>
        <v>0</v>
      </c>
      <c r="I120" s="68"/>
    </row>
    <row r="121" spans="1:9" x14ac:dyDescent="0.3">
      <c r="A121" s="45">
        <f t="shared" si="4"/>
        <v>79</v>
      </c>
      <c r="B121" s="35"/>
      <c r="C121" s="35"/>
      <c r="D121" s="31">
        <f>SUM(D114:D120)</f>
        <v>1605</v>
      </c>
      <c r="F121" s="28">
        <f>SUM(F114:F120)</f>
        <v>15082.5</v>
      </c>
      <c r="G121" s="29"/>
      <c r="H121" s="28">
        <f>SUM(H114:H120)</f>
        <v>76233</v>
      </c>
      <c r="I121" s="69">
        <f>H121*12/1000</f>
        <v>914.79600000000005</v>
      </c>
    </row>
    <row r="122" spans="1:9" x14ac:dyDescent="0.3">
      <c r="A122" s="45"/>
      <c r="B122" s="35"/>
      <c r="C122" s="35"/>
      <c r="D122" s="26"/>
      <c r="F122" s="29"/>
      <c r="G122" s="29"/>
      <c r="H122" s="29"/>
      <c r="I122" s="67"/>
    </row>
    <row r="123" spans="1:9" x14ac:dyDescent="0.3">
      <c r="A123" s="45"/>
      <c r="B123" s="35"/>
      <c r="C123" s="35"/>
      <c r="D123" s="31"/>
      <c r="F123" s="29"/>
      <c r="G123" s="29"/>
      <c r="H123" s="29"/>
      <c r="I123" s="67"/>
    </row>
    <row r="124" spans="1:9" x14ac:dyDescent="0.3">
      <c r="A124" s="45">
        <f>+A121+1</f>
        <v>80</v>
      </c>
      <c r="B124" t="s">
        <v>55</v>
      </c>
      <c r="C124" s="53">
        <v>931</v>
      </c>
      <c r="D124"/>
    </row>
    <row r="125" spans="1:9" x14ac:dyDescent="0.3">
      <c r="A125" s="45">
        <f>+A124+1</f>
        <v>81</v>
      </c>
      <c r="B125" s="37" t="s">
        <v>63</v>
      </c>
      <c r="C125" s="26"/>
      <c r="D125" s="4">
        <f>H125/G125</f>
        <v>30.007407407407314</v>
      </c>
      <c r="E125" s="34">
        <f>E114</f>
        <v>10</v>
      </c>
      <c r="F125" s="38">
        <f>D125*E125</f>
        <v>300.07407407407311</v>
      </c>
      <c r="G125">
        <v>45</v>
      </c>
      <c r="H125" s="39">
        <f>I125*1000/12</f>
        <v>1350.3333333333292</v>
      </c>
      <c r="I125" s="70">
        <f>C124-I121</f>
        <v>16.203999999999951</v>
      </c>
    </row>
    <row r="126" spans="1:9" x14ac:dyDescent="0.3">
      <c r="A126" s="45"/>
      <c r="B126" s="37"/>
      <c r="C126" s="26"/>
      <c r="D126" s="4"/>
      <c r="E126" s="27"/>
      <c r="F126" s="38"/>
      <c r="H126" s="40"/>
      <c r="I126" s="71"/>
    </row>
    <row r="127" spans="1:9" x14ac:dyDescent="0.3">
      <c r="A127" s="45">
        <f>+A125+1</f>
        <v>82</v>
      </c>
      <c r="B127" s="37" t="s">
        <v>64</v>
      </c>
      <c r="C127" s="26"/>
      <c r="D127" s="4"/>
      <c r="E127" s="27"/>
      <c r="F127" s="41">
        <f>F121+F125</f>
        <v>15382.574074074073</v>
      </c>
      <c r="H127" s="39">
        <f>H121+H125</f>
        <v>77583.333333333328</v>
      </c>
      <c r="I127" s="70">
        <f>I121+I125</f>
        <v>931</v>
      </c>
    </row>
    <row r="128" spans="1:9" x14ac:dyDescent="0.3">
      <c r="A128" s="45"/>
      <c r="B128" s="37"/>
      <c r="C128" s="26"/>
      <c r="D128" s="4"/>
      <c r="E128" s="27"/>
      <c r="F128" s="42"/>
      <c r="H128" s="4"/>
      <c r="I128" s="71"/>
    </row>
    <row r="129" spans="1:9" x14ac:dyDescent="0.3">
      <c r="A129" s="45">
        <f>+A127+1</f>
        <v>83</v>
      </c>
      <c r="B129" s="35" t="s">
        <v>65</v>
      </c>
      <c r="C129" s="53">
        <v>228</v>
      </c>
      <c r="D129"/>
    </row>
    <row r="130" spans="1:9" x14ac:dyDescent="0.3">
      <c r="A130" s="45"/>
    </row>
    <row r="131" spans="1:9" x14ac:dyDescent="0.3">
      <c r="A131" s="45"/>
    </row>
    <row r="132" spans="1:9" x14ac:dyDescent="0.3">
      <c r="A132" s="45"/>
      <c r="B132" s="24" t="s">
        <v>74</v>
      </c>
      <c r="C132" s="24"/>
      <c r="D132" s="25" t="s">
        <v>66</v>
      </c>
      <c r="E132" s="25"/>
      <c r="F132" s="25"/>
      <c r="G132" s="25"/>
      <c r="H132" s="25"/>
      <c r="I132" s="66"/>
    </row>
    <row r="133" spans="1:9" x14ac:dyDescent="0.3">
      <c r="A133" s="45"/>
      <c r="C133"/>
      <c r="D133" t="s">
        <v>57</v>
      </c>
      <c r="E133" t="s">
        <v>58</v>
      </c>
      <c r="F133" t="s">
        <v>59</v>
      </c>
      <c r="G133" t="s">
        <v>60</v>
      </c>
      <c r="H133" t="s">
        <v>61</v>
      </c>
      <c r="I133" s="52" t="s">
        <v>62</v>
      </c>
    </row>
    <row r="134" spans="1:9" x14ac:dyDescent="0.3">
      <c r="A134" s="45">
        <f>+A129+1</f>
        <v>84</v>
      </c>
      <c r="B134" s="35" t="s">
        <v>46</v>
      </c>
      <c r="C134" s="35"/>
      <c r="D134" s="32">
        <v>364</v>
      </c>
      <c r="E134" s="33">
        <f>10*(1+F131)</f>
        <v>10</v>
      </c>
      <c r="F134" s="29">
        <f>D134*E134</f>
        <v>3640</v>
      </c>
      <c r="G134" s="29">
        <v>45</v>
      </c>
      <c r="H134" s="29">
        <f>D134*G134</f>
        <v>16380</v>
      </c>
      <c r="I134" s="67"/>
    </row>
    <row r="135" spans="1:9" x14ac:dyDescent="0.3">
      <c r="A135" s="45">
        <f>+A134+1</f>
        <v>85</v>
      </c>
      <c r="B135" s="35" t="s">
        <v>46</v>
      </c>
      <c r="C135" s="35"/>
      <c r="D135" s="32">
        <v>780</v>
      </c>
      <c r="E135" s="33">
        <f>4.1*(1+F131)</f>
        <v>4.0999999999999996</v>
      </c>
      <c r="F135" s="29">
        <f t="shared" ref="F135:F142" si="7">D135*E135</f>
        <v>3197.9999999999995</v>
      </c>
      <c r="G135" s="29">
        <v>45</v>
      </c>
      <c r="H135" s="29">
        <f t="shared" ref="H135:H142" si="8">D135*G135</f>
        <v>35100</v>
      </c>
      <c r="I135" s="67"/>
    </row>
    <row r="136" spans="1:9" x14ac:dyDescent="0.3">
      <c r="A136" s="45">
        <f>+A135+1</f>
        <v>86</v>
      </c>
      <c r="B136" s="35" t="s">
        <v>46</v>
      </c>
      <c r="C136" s="35"/>
      <c r="D136" s="32">
        <v>141</v>
      </c>
      <c r="E136" s="33">
        <v>6.75</v>
      </c>
      <c r="F136" s="29">
        <f t="shared" si="7"/>
        <v>951.75</v>
      </c>
      <c r="G136" s="29">
        <v>45</v>
      </c>
      <c r="H136" s="29">
        <f t="shared" si="8"/>
        <v>6345</v>
      </c>
      <c r="I136" s="67"/>
    </row>
    <row r="137" spans="1:9" x14ac:dyDescent="0.3">
      <c r="A137" s="45">
        <f t="shared" ref="A137:A142" si="9">+A136+1</f>
        <v>87</v>
      </c>
      <c r="B137" s="35" t="s">
        <v>51</v>
      </c>
      <c r="C137" s="35"/>
      <c r="D137" s="32">
        <v>35</v>
      </c>
      <c r="E137" s="33">
        <f>13.5*(1+F131)</f>
        <v>13.5</v>
      </c>
      <c r="F137" s="29">
        <f t="shared" si="7"/>
        <v>472.5</v>
      </c>
      <c r="G137" s="29">
        <v>67</v>
      </c>
      <c r="H137" s="29">
        <f t="shared" si="8"/>
        <v>2345</v>
      </c>
      <c r="I137" s="67"/>
    </row>
    <row r="138" spans="1:9" x14ac:dyDescent="0.3">
      <c r="A138" s="45">
        <f t="shared" si="9"/>
        <v>88</v>
      </c>
      <c r="B138" s="35" t="s">
        <v>52</v>
      </c>
      <c r="C138" s="35"/>
      <c r="D138" s="32">
        <v>0</v>
      </c>
      <c r="E138" s="33">
        <f>0*(1+F131)</f>
        <v>0</v>
      </c>
      <c r="F138" s="29">
        <f t="shared" si="7"/>
        <v>0</v>
      </c>
      <c r="G138" s="29">
        <v>99</v>
      </c>
      <c r="H138" s="29">
        <f t="shared" si="8"/>
        <v>0</v>
      </c>
      <c r="I138" s="67"/>
    </row>
    <row r="139" spans="1:9" x14ac:dyDescent="0.3">
      <c r="A139" s="45">
        <f t="shared" si="9"/>
        <v>89</v>
      </c>
      <c r="B139" s="35" t="s">
        <v>53</v>
      </c>
      <c r="C139" s="35"/>
      <c r="D139" s="32">
        <v>0</v>
      </c>
      <c r="E139" s="33">
        <f>0*(1+F131)</f>
        <v>0</v>
      </c>
      <c r="F139" s="29">
        <f t="shared" si="7"/>
        <v>0</v>
      </c>
      <c r="G139" s="29">
        <v>166</v>
      </c>
      <c r="H139" s="29">
        <f t="shared" si="8"/>
        <v>0</v>
      </c>
      <c r="I139" s="67"/>
    </row>
    <row r="140" spans="1:9" x14ac:dyDescent="0.3">
      <c r="A140" s="45">
        <f t="shared" si="9"/>
        <v>90</v>
      </c>
      <c r="B140" s="35" t="s">
        <v>47</v>
      </c>
      <c r="C140" s="35"/>
      <c r="D140" s="32">
        <v>40</v>
      </c>
      <c r="E140" s="33">
        <v>13.5</v>
      </c>
      <c r="F140" s="29">
        <f t="shared" si="7"/>
        <v>540</v>
      </c>
      <c r="G140" s="29">
        <v>99</v>
      </c>
      <c r="H140" s="29">
        <f t="shared" si="8"/>
        <v>3960</v>
      </c>
      <c r="I140" s="67"/>
    </row>
    <row r="141" spans="1:9" x14ac:dyDescent="0.3">
      <c r="A141" s="45">
        <f t="shared" si="9"/>
        <v>91</v>
      </c>
      <c r="B141" s="35" t="s">
        <v>54</v>
      </c>
      <c r="C141" s="35"/>
      <c r="D141" s="32"/>
      <c r="E141" s="33">
        <f>0*(1+F131)</f>
        <v>0</v>
      </c>
      <c r="F141" s="29">
        <f t="shared" si="7"/>
        <v>0</v>
      </c>
      <c r="G141" s="29">
        <v>166</v>
      </c>
      <c r="H141" s="29">
        <f t="shared" si="8"/>
        <v>0</v>
      </c>
      <c r="I141" s="67"/>
    </row>
    <row r="142" spans="1:9" x14ac:dyDescent="0.3">
      <c r="A142" s="45">
        <f t="shared" si="9"/>
        <v>92</v>
      </c>
      <c r="B142" s="36" t="s">
        <v>48</v>
      </c>
      <c r="C142" s="36"/>
      <c r="D142" s="32">
        <v>12</v>
      </c>
      <c r="E142" s="33">
        <f>3.4*(1+F131)</f>
        <v>3.4</v>
      </c>
      <c r="F142" s="30">
        <f t="shared" si="7"/>
        <v>40.799999999999997</v>
      </c>
      <c r="G142" s="30">
        <v>0</v>
      </c>
      <c r="H142" s="30">
        <f t="shared" si="8"/>
        <v>0</v>
      </c>
      <c r="I142" s="68"/>
    </row>
    <row r="143" spans="1:9" x14ac:dyDescent="0.3">
      <c r="A143" s="45">
        <f>+A142+1</f>
        <v>93</v>
      </c>
      <c r="B143" s="35"/>
      <c r="C143" s="35"/>
      <c r="D143" s="31">
        <f>SUM(D134:D142)</f>
        <v>1372</v>
      </c>
      <c r="F143" s="28">
        <f>SUM(F134:F142)</f>
        <v>8843.0499999999993</v>
      </c>
      <c r="G143" s="29"/>
      <c r="H143" s="28">
        <f>SUM(H134:H142)</f>
        <v>64130</v>
      </c>
      <c r="I143" s="69">
        <f>H143*12/1000</f>
        <v>769.56</v>
      </c>
    </row>
    <row r="144" spans="1:9" x14ac:dyDescent="0.3">
      <c r="A144" s="45"/>
      <c r="B144" s="35"/>
      <c r="C144" s="35"/>
      <c r="D144" s="26"/>
      <c r="F144" s="29"/>
      <c r="G144" s="29"/>
      <c r="H144" s="29"/>
      <c r="I144" s="67"/>
    </row>
    <row r="145" spans="1:10" x14ac:dyDescent="0.3">
      <c r="A145" s="45">
        <f>+A143+1</f>
        <v>94</v>
      </c>
      <c r="B145" t="s">
        <v>55</v>
      </c>
      <c r="C145" s="53">
        <v>761</v>
      </c>
      <c r="D145"/>
    </row>
    <row r="146" spans="1:10" x14ac:dyDescent="0.3">
      <c r="A146" s="45">
        <f>+A145+1</f>
        <v>95</v>
      </c>
      <c r="B146" s="37" t="s">
        <v>63</v>
      </c>
      <c r="C146" s="26"/>
      <c r="D146" s="4">
        <f>H146/45</f>
        <v>-15.851851851851752</v>
      </c>
      <c r="E146" s="34">
        <f>E134</f>
        <v>10</v>
      </c>
      <c r="F146" s="38">
        <f>D146*E146</f>
        <v>-158.51851851851751</v>
      </c>
      <c r="G146">
        <v>45</v>
      </c>
      <c r="H146" s="39">
        <f>I146*1000/12</f>
        <v>-713.33333333332882</v>
      </c>
      <c r="I146" s="70">
        <f>C145-I143</f>
        <v>-8.5599999999999454</v>
      </c>
    </row>
    <row r="147" spans="1:10" x14ac:dyDescent="0.3">
      <c r="A147" s="45"/>
      <c r="B147" s="37"/>
      <c r="C147" s="26"/>
      <c r="D147" s="4"/>
      <c r="E147" s="27"/>
      <c r="F147" s="38"/>
      <c r="H147" s="4"/>
      <c r="I147" s="71"/>
    </row>
    <row r="148" spans="1:10" x14ac:dyDescent="0.3">
      <c r="A148" s="45">
        <f>+A146+1</f>
        <v>96</v>
      </c>
      <c r="B148" s="37" t="s">
        <v>64</v>
      </c>
      <c r="C148" s="26"/>
      <c r="D148" s="4"/>
      <c r="E148" s="27"/>
      <c r="F148" s="41">
        <f>F143+F146</f>
        <v>8684.531481481481</v>
      </c>
      <c r="H148" s="39">
        <f>H143+H146</f>
        <v>63416.666666666672</v>
      </c>
      <c r="I148" s="70">
        <f>I143+I146</f>
        <v>761</v>
      </c>
    </row>
    <row r="149" spans="1:10" x14ac:dyDescent="0.3">
      <c r="A149" s="45"/>
      <c r="B149" s="37"/>
      <c r="C149" s="26"/>
      <c r="D149" s="4"/>
      <c r="E149" s="27"/>
      <c r="F149" s="42"/>
      <c r="H149" s="4"/>
      <c r="I149" s="71"/>
    </row>
    <row r="150" spans="1:10" x14ac:dyDescent="0.3">
      <c r="A150" s="45">
        <f>+A148+1</f>
        <v>97</v>
      </c>
      <c r="B150" s="35" t="s">
        <v>65</v>
      </c>
      <c r="C150" s="53">
        <v>131</v>
      </c>
      <c r="D150"/>
    </row>
    <row r="151" spans="1:10" x14ac:dyDescent="0.3">
      <c r="A151" s="45"/>
      <c r="C151" s="3"/>
      <c r="D151"/>
    </row>
    <row r="152" spans="1:10" x14ac:dyDescent="0.3">
      <c r="A152" s="45"/>
      <c r="B152" s="8" t="s">
        <v>28</v>
      </c>
      <c r="D152" s="12"/>
      <c r="E152" s="13" t="s">
        <v>22</v>
      </c>
      <c r="F152" s="13"/>
      <c r="H152" s="13" t="s">
        <v>29</v>
      </c>
      <c r="I152" s="72"/>
    </row>
    <row r="153" spans="1:10" x14ac:dyDescent="0.3">
      <c r="A153" s="45"/>
      <c r="D153" s="14" t="s">
        <v>19</v>
      </c>
      <c r="E153" s="14" t="s">
        <v>20</v>
      </c>
      <c r="F153" s="15" t="s">
        <v>21</v>
      </c>
      <c r="H153" s="14" t="s">
        <v>20</v>
      </c>
      <c r="I153" s="73" t="s">
        <v>21</v>
      </c>
    </row>
    <row r="154" spans="1:10" x14ac:dyDescent="0.3">
      <c r="A154" s="45">
        <f>+A150+1</f>
        <v>98</v>
      </c>
      <c r="B154" s="35" t="s">
        <v>46</v>
      </c>
      <c r="D154" s="2">
        <f>+D114+D134+D125+D146</f>
        <v>1282.1555555555556</v>
      </c>
      <c r="E154" s="43">
        <v>10</v>
      </c>
      <c r="F154" s="4">
        <f>+$D154*E154*12</f>
        <v>153858.66666666666</v>
      </c>
      <c r="H154" s="62">
        <f>E154*(1.38)</f>
        <v>13.799999999999999</v>
      </c>
      <c r="I154" s="71">
        <f>+$D154*H154*12</f>
        <v>212324.96</v>
      </c>
      <c r="J154" s="58">
        <f t="shared" ref="J154:J160" si="10">H154/E154</f>
        <v>1.38</v>
      </c>
    </row>
    <row r="155" spans="1:10" x14ac:dyDescent="0.3">
      <c r="A155" s="45">
        <f>+A154+1</f>
        <v>99</v>
      </c>
      <c r="B155" s="35" t="s">
        <v>46</v>
      </c>
      <c r="D155" s="2">
        <f>+D115+D135</f>
        <v>780</v>
      </c>
      <c r="E155" s="43">
        <v>4.0999999999999996</v>
      </c>
      <c r="F155" s="4">
        <f t="shared" ref="F155:F162" si="11">+$D155*E155*12</f>
        <v>38375.999999999993</v>
      </c>
      <c r="H155" s="62">
        <v>5.65</v>
      </c>
      <c r="I155" s="71">
        <f t="shared" ref="I155:I162" si="12">+$D155*H155*12</f>
        <v>52884</v>
      </c>
      <c r="J155" s="58">
        <f t="shared" si="10"/>
        <v>1.378048780487805</v>
      </c>
    </row>
    <row r="156" spans="1:10" x14ac:dyDescent="0.3">
      <c r="A156" s="45">
        <f t="shared" ref="A156:A164" si="13">+A155+1</f>
        <v>100</v>
      </c>
      <c r="B156" s="35" t="s">
        <v>46</v>
      </c>
      <c r="D156" s="2">
        <f>+D136</f>
        <v>141</v>
      </c>
      <c r="E156" s="43">
        <f>E136</f>
        <v>6.75</v>
      </c>
      <c r="F156" s="4">
        <f>+$D156*E156*12</f>
        <v>11421</v>
      </c>
      <c r="H156" s="62">
        <v>9.3000000000000007</v>
      </c>
      <c r="I156" s="71">
        <f t="shared" si="12"/>
        <v>15735.600000000002</v>
      </c>
      <c r="J156" s="58">
        <f t="shared" si="10"/>
        <v>1.377777777777778</v>
      </c>
    </row>
    <row r="157" spans="1:10" x14ac:dyDescent="0.3">
      <c r="A157" s="45">
        <f t="shared" si="13"/>
        <v>101</v>
      </c>
      <c r="B157" s="35" t="s">
        <v>51</v>
      </c>
      <c r="D157" s="2">
        <f>+D137+D115</f>
        <v>35</v>
      </c>
      <c r="E157" s="43">
        <v>13.5</v>
      </c>
      <c r="F157" s="4">
        <f t="shared" si="11"/>
        <v>5670</v>
      </c>
      <c r="H157" s="62">
        <v>18.649999999999999</v>
      </c>
      <c r="I157" s="71">
        <f t="shared" si="12"/>
        <v>7833</v>
      </c>
      <c r="J157" s="58">
        <f t="shared" si="10"/>
        <v>1.3814814814814813</v>
      </c>
    </row>
    <row r="158" spans="1:10" x14ac:dyDescent="0.3">
      <c r="A158" s="45">
        <f t="shared" si="13"/>
        <v>102</v>
      </c>
      <c r="B158" s="35" t="s">
        <v>52</v>
      </c>
      <c r="D158" s="2">
        <f>+D138+D116</f>
        <v>0</v>
      </c>
      <c r="E158" s="43">
        <v>17.8</v>
      </c>
      <c r="F158" s="4">
        <f t="shared" si="11"/>
        <v>0</v>
      </c>
      <c r="H158" s="62">
        <v>24.55</v>
      </c>
      <c r="I158" s="71">
        <f t="shared" si="12"/>
        <v>0</v>
      </c>
      <c r="J158" s="58">
        <f t="shared" si="10"/>
        <v>1.3792134831460674</v>
      </c>
    </row>
    <row r="159" spans="1:10" x14ac:dyDescent="0.3">
      <c r="A159" s="45">
        <f t="shared" si="13"/>
        <v>103</v>
      </c>
      <c r="B159" s="35" t="s">
        <v>53</v>
      </c>
      <c r="D159" s="2">
        <f>D117</f>
        <v>12</v>
      </c>
      <c r="E159" s="43">
        <v>23</v>
      </c>
      <c r="F159" s="4">
        <f t="shared" si="11"/>
        <v>3312</v>
      </c>
      <c r="H159" s="62">
        <v>31.7</v>
      </c>
      <c r="I159" s="71">
        <f t="shared" si="12"/>
        <v>4564.7999999999993</v>
      </c>
      <c r="J159" s="58">
        <f t="shared" si="10"/>
        <v>1.3782608695652174</v>
      </c>
    </row>
    <row r="160" spans="1:10" x14ac:dyDescent="0.3">
      <c r="A160" s="45">
        <f t="shared" si="13"/>
        <v>104</v>
      </c>
      <c r="B160" s="35" t="s">
        <v>47</v>
      </c>
      <c r="D160" s="2">
        <f>+D118+D140</f>
        <v>379</v>
      </c>
      <c r="E160" s="43">
        <v>13.5</v>
      </c>
      <c r="F160" s="4">
        <f t="shared" si="11"/>
        <v>61398</v>
      </c>
      <c r="H160" s="62">
        <v>18.649999999999999</v>
      </c>
      <c r="I160" s="71">
        <f t="shared" si="12"/>
        <v>84820.2</v>
      </c>
      <c r="J160" s="58">
        <f t="shared" si="10"/>
        <v>1.3814814814814813</v>
      </c>
    </row>
    <row r="161" spans="1:10" x14ac:dyDescent="0.3">
      <c r="A161" s="45">
        <f t="shared" si="13"/>
        <v>105</v>
      </c>
      <c r="B161" s="35" t="s">
        <v>54</v>
      </c>
      <c r="D161" s="2">
        <f>+D119+D141</f>
        <v>0</v>
      </c>
      <c r="E161" s="43">
        <v>0</v>
      </c>
      <c r="F161" s="4">
        <f t="shared" si="11"/>
        <v>0</v>
      </c>
      <c r="H161" s="62">
        <f t="shared" ref="H161" si="14">E161*(1.38)</f>
        <v>0</v>
      </c>
      <c r="I161" s="71">
        <f t="shared" si="12"/>
        <v>0</v>
      </c>
      <c r="J161" s="58"/>
    </row>
    <row r="162" spans="1:10" x14ac:dyDescent="0.3">
      <c r="A162" s="45">
        <f t="shared" si="13"/>
        <v>106</v>
      </c>
      <c r="B162" s="36" t="s">
        <v>48</v>
      </c>
      <c r="D162" s="2">
        <f>+D120+D142</f>
        <v>362</v>
      </c>
      <c r="E162" s="43">
        <v>3.4</v>
      </c>
      <c r="F162" s="4">
        <f t="shared" si="11"/>
        <v>14769.599999999999</v>
      </c>
      <c r="H162" s="62">
        <v>4.7</v>
      </c>
      <c r="I162" s="71">
        <f t="shared" si="12"/>
        <v>20416.800000000003</v>
      </c>
      <c r="J162" s="58">
        <f>H162/E162</f>
        <v>1.3823529411764708</v>
      </c>
    </row>
    <row r="163" spans="1:10" ht="15" thickBot="1" x14ac:dyDescent="0.35">
      <c r="A163" s="45">
        <f t="shared" si="13"/>
        <v>107</v>
      </c>
      <c r="F163" s="44">
        <f>SUM(F154:F162)</f>
        <v>288805.2666666666</v>
      </c>
      <c r="H163" s="54"/>
      <c r="I163" s="74">
        <f>SUM(I154:I162)</f>
        <v>398579.35999999993</v>
      </c>
    </row>
    <row r="164" spans="1:10" ht="15" thickTop="1" x14ac:dyDescent="0.3">
      <c r="A164" s="45">
        <f t="shared" si="13"/>
        <v>108</v>
      </c>
      <c r="B164" t="s">
        <v>67</v>
      </c>
      <c r="F164" s="4">
        <f>+(C165-F163)/F163</f>
        <v>0.37998175933541406</v>
      </c>
      <c r="I164" s="71">
        <f>+I163-C165</f>
        <v>33.359999999927823</v>
      </c>
    </row>
    <row r="165" spans="1:10" x14ac:dyDescent="0.3">
      <c r="A165" s="45"/>
      <c r="C165" s="63">
        <v>398546</v>
      </c>
      <c r="D165" s="48" t="s">
        <v>71</v>
      </c>
      <c r="I165" s="75">
        <f>+(I163/F163)-1</f>
        <v>0.38009726969429702</v>
      </c>
    </row>
    <row r="166" spans="1:10" x14ac:dyDescent="0.3">
      <c r="A166" s="45"/>
    </row>
    <row r="167" spans="1:10" x14ac:dyDescent="0.3">
      <c r="A167" s="45"/>
      <c r="F167" s="1"/>
    </row>
    <row r="168" spans="1:10" x14ac:dyDescent="0.3">
      <c r="A168" s="45"/>
    </row>
    <row r="169" spans="1:10" x14ac:dyDescent="0.3">
      <c r="A169" s="45"/>
    </row>
    <row r="170" spans="1:10" x14ac:dyDescent="0.3">
      <c r="A170" s="45"/>
    </row>
    <row r="171" spans="1:10" x14ac:dyDescent="0.3">
      <c r="A171" s="45"/>
    </row>
    <row r="172" spans="1:10" x14ac:dyDescent="0.3">
      <c r="A172" s="45"/>
    </row>
    <row r="173" spans="1:10" x14ac:dyDescent="0.3">
      <c r="A173" s="45"/>
    </row>
    <row r="174" spans="1:10" x14ac:dyDescent="0.3">
      <c r="A174" s="45"/>
    </row>
    <row r="175" spans="1:10" x14ac:dyDescent="0.3">
      <c r="A175" s="45"/>
    </row>
    <row r="176" spans="1:10" x14ac:dyDescent="0.3">
      <c r="A176" s="45"/>
    </row>
    <row r="177" spans="1:1" x14ac:dyDescent="0.3">
      <c r="A177" s="45"/>
    </row>
    <row r="178" spans="1:1" x14ac:dyDescent="0.3">
      <c r="A178" s="45"/>
    </row>
    <row r="179" spans="1:1" x14ac:dyDescent="0.3">
      <c r="A179" s="45"/>
    </row>
    <row r="180" spans="1:1" x14ac:dyDescent="0.3">
      <c r="A180" s="45"/>
    </row>
    <row r="181" spans="1:1" x14ac:dyDescent="0.3">
      <c r="A181" s="45"/>
    </row>
    <row r="182" spans="1:1" x14ac:dyDescent="0.3">
      <c r="A182" s="45"/>
    </row>
    <row r="183" spans="1:1" x14ac:dyDescent="0.3">
      <c r="A183" s="45"/>
    </row>
    <row r="184" spans="1:1" x14ac:dyDescent="0.3">
      <c r="A184" s="45"/>
    </row>
    <row r="185" spans="1:1" x14ac:dyDescent="0.3">
      <c r="A185" s="45"/>
    </row>
    <row r="186" spans="1:1" x14ac:dyDescent="0.3">
      <c r="A186" s="45"/>
    </row>
    <row r="187" spans="1:1" x14ac:dyDescent="0.3">
      <c r="A187" s="45"/>
    </row>
    <row r="188" spans="1:1" x14ac:dyDescent="0.3">
      <c r="A188" s="45"/>
    </row>
    <row r="189" spans="1:1" x14ac:dyDescent="0.3">
      <c r="A189" s="45"/>
    </row>
    <row r="190" spans="1:1" x14ac:dyDescent="0.3">
      <c r="A190" s="45"/>
    </row>
    <row r="191" spans="1:1" x14ac:dyDescent="0.3">
      <c r="A191" s="45"/>
    </row>
    <row r="192" spans="1:1" x14ac:dyDescent="0.3">
      <c r="A192" s="45"/>
    </row>
    <row r="193" spans="1:1" x14ac:dyDescent="0.3">
      <c r="A193" s="45"/>
    </row>
    <row r="194" spans="1:1" x14ac:dyDescent="0.3">
      <c r="A194" s="45"/>
    </row>
    <row r="195" spans="1:1" x14ac:dyDescent="0.3">
      <c r="A195" s="45"/>
    </row>
    <row r="196" spans="1:1" x14ac:dyDescent="0.3">
      <c r="A196" s="45"/>
    </row>
    <row r="197" spans="1:1" x14ac:dyDescent="0.3">
      <c r="A197" s="45"/>
    </row>
    <row r="198" spans="1:1" x14ac:dyDescent="0.3">
      <c r="A198" s="45"/>
    </row>
    <row r="199" spans="1:1" x14ac:dyDescent="0.3">
      <c r="A199" s="45"/>
    </row>
    <row r="200" spans="1:1" x14ac:dyDescent="0.3">
      <c r="A200" s="45"/>
    </row>
    <row r="201" spans="1:1" x14ac:dyDescent="0.3">
      <c r="A201" s="45"/>
    </row>
    <row r="202" spans="1:1" x14ac:dyDescent="0.3">
      <c r="A202" s="45"/>
    </row>
    <row r="203" spans="1:1" x14ac:dyDescent="0.3">
      <c r="A203" s="45"/>
    </row>
    <row r="204" spans="1:1" x14ac:dyDescent="0.3">
      <c r="A204" s="45"/>
    </row>
    <row r="205" spans="1:1" x14ac:dyDescent="0.3">
      <c r="A205" s="45"/>
    </row>
    <row r="206" spans="1:1" x14ac:dyDescent="0.3">
      <c r="A206" s="45"/>
    </row>
    <row r="207" spans="1:1" x14ac:dyDescent="0.3">
      <c r="A207" s="45"/>
    </row>
    <row r="208" spans="1:1" x14ac:dyDescent="0.3">
      <c r="A208" s="45"/>
    </row>
    <row r="209" spans="1:1" x14ac:dyDescent="0.3">
      <c r="A209" s="45"/>
    </row>
    <row r="210" spans="1:1" x14ac:dyDescent="0.3">
      <c r="A210" s="45"/>
    </row>
    <row r="211" spans="1:1" x14ac:dyDescent="0.3">
      <c r="A211" s="45"/>
    </row>
    <row r="212" spans="1:1" x14ac:dyDescent="0.3">
      <c r="A212" s="45"/>
    </row>
    <row r="213" spans="1:1" x14ac:dyDescent="0.3">
      <c r="A213" s="45"/>
    </row>
    <row r="214" spans="1:1" x14ac:dyDescent="0.3">
      <c r="A214" s="45"/>
    </row>
    <row r="215" spans="1:1" x14ac:dyDescent="0.3">
      <c r="A215" s="45"/>
    </row>
    <row r="216" spans="1:1" x14ac:dyDescent="0.3">
      <c r="A216" s="45"/>
    </row>
    <row r="217" spans="1:1" x14ac:dyDescent="0.3">
      <c r="A217" s="45"/>
    </row>
    <row r="218" spans="1:1" x14ac:dyDescent="0.3">
      <c r="A218" s="45"/>
    </row>
    <row r="219" spans="1:1" x14ac:dyDescent="0.3">
      <c r="A219" s="45"/>
    </row>
    <row r="220" spans="1:1" x14ac:dyDescent="0.3">
      <c r="A220" s="45"/>
    </row>
    <row r="221" spans="1:1" x14ac:dyDescent="0.3">
      <c r="A221" s="45"/>
    </row>
    <row r="222" spans="1:1" x14ac:dyDescent="0.3">
      <c r="A222" s="45"/>
    </row>
    <row r="223" spans="1:1" x14ac:dyDescent="0.3">
      <c r="A223" s="45"/>
    </row>
    <row r="224" spans="1:1" x14ac:dyDescent="0.3">
      <c r="A224" s="45"/>
    </row>
    <row r="225" spans="1:1" x14ac:dyDescent="0.3">
      <c r="A225" s="45"/>
    </row>
    <row r="226" spans="1:1" x14ac:dyDescent="0.3">
      <c r="A226" s="45"/>
    </row>
    <row r="227" spans="1:1" x14ac:dyDescent="0.3">
      <c r="A227" s="45"/>
    </row>
    <row r="228" spans="1:1" x14ac:dyDescent="0.3">
      <c r="A228" s="45"/>
    </row>
    <row r="229" spans="1:1" x14ac:dyDescent="0.3">
      <c r="A229" s="45"/>
    </row>
    <row r="230" spans="1:1" x14ac:dyDescent="0.3">
      <c r="A230" s="45"/>
    </row>
    <row r="231" spans="1:1" x14ac:dyDescent="0.3">
      <c r="A231" s="45"/>
    </row>
    <row r="232" spans="1:1" x14ac:dyDescent="0.3">
      <c r="A232" s="45"/>
    </row>
    <row r="233" spans="1:1" x14ac:dyDescent="0.3">
      <c r="A233" s="45"/>
    </row>
    <row r="234" spans="1:1" x14ac:dyDescent="0.3">
      <c r="A234" s="45"/>
    </row>
    <row r="235" spans="1:1" x14ac:dyDescent="0.3">
      <c r="A235" s="45"/>
    </row>
    <row r="236" spans="1:1" x14ac:dyDescent="0.3">
      <c r="A236" s="45"/>
    </row>
    <row r="237" spans="1:1" x14ac:dyDescent="0.3">
      <c r="A237" s="45"/>
    </row>
    <row r="238" spans="1:1" x14ac:dyDescent="0.3">
      <c r="A238" s="45"/>
    </row>
    <row r="239" spans="1:1" x14ac:dyDescent="0.3">
      <c r="A239" s="45"/>
    </row>
    <row r="240" spans="1:1" x14ac:dyDescent="0.3">
      <c r="A240" s="45"/>
    </row>
    <row r="241" spans="1:1" x14ac:dyDescent="0.3">
      <c r="A241" s="45"/>
    </row>
    <row r="242" spans="1:1" x14ac:dyDescent="0.3">
      <c r="A242" s="45"/>
    </row>
    <row r="243" spans="1:1" x14ac:dyDescent="0.3">
      <c r="A243" s="45"/>
    </row>
    <row r="244" spans="1:1" x14ac:dyDescent="0.3">
      <c r="A244" s="45"/>
    </row>
    <row r="245" spans="1:1" x14ac:dyDescent="0.3">
      <c r="A245" s="45"/>
    </row>
    <row r="246" spans="1:1" x14ac:dyDescent="0.3">
      <c r="A246" s="45"/>
    </row>
    <row r="247" spans="1:1" x14ac:dyDescent="0.3">
      <c r="A247" s="45"/>
    </row>
    <row r="248" spans="1:1" x14ac:dyDescent="0.3">
      <c r="A248" s="45"/>
    </row>
    <row r="249" spans="1:1" x14ac:dyDescent="0.3">
      <c r="A249" s="45"/>
    </row>
    <row r="250" spans="1:1" x14ac:dyDescent="0.3">
      <c r="A250" s="45"/>
    </row>
    <row r="251" spans="1:1" x14ac:dyDescent="0.3">
      <c r="A251" s="45"/>
    </row>
    <row r="252" spans="1:1" x14ac:dyDescent="0.3">
      <c r="A252" s="45"/>
    </row>
    <row r="253" spans="1:1" x14ac:dyDescent="0.3">
      <c r="A253" s="45"/>
    </row>
    <row r="254" spans="1:1" x14ac:dyDescent="0.3">
      <c r="A254" s="45"/>
    </row>
    <row r="255" spans="1:1" x14ac:dyDescent="0.3">
      <c r="A255" s="45"/>
    </row>
    <row r="256" spans="1:1" x14ac:dyDescent="0.3">
      <c r="A256" s="45"/>
    </row>
    <row r="257" spans="1:1" x14ac:dyDescent="0.3">
      <c r="A257" s="45"/>
    </row>
    <row r="258" spans="1:1" x14ac:dyDescent="0.3">
      <c r="A258" s="45"/>
    </row>
    <row r="259" spans="1:1" x14ac:dyDescent="0.3">
      <c r="A259" s="45"/>
    </row>
    <row r="260" spans="1:1" x14ac:dyDescent="0.3">
      <c r="A260" s="45"/>
    </row>
    <row r="261" spans="1:1" x14ac:dyDescent="0.3">
      <c r="A261" s="45"/>
    </row>
    <row r="262" spans="1:1" x14ac:dyDescent="0.3">
      <c r="A262" s="45"/>
    </row>
    <row r="263" spans="1:1" x14ac:dyDescent="0.3">
      <c r="A263" s="45"/>
    </row>
    <row r="264" spans="1:1" x14ac:dyDescent="0.3">
      <c r="A264" s="45"/>
    </row>
    <row r="265" spans="1:1" x14ac:dyDescent="0.3">
      <c r="A265" s="45"/>
    </row>
    <row r="266" spans="1:1" x14ac:dyDescent="0.3">
      <c r="A266" s="45"/>
    </row>
    <row r="267" spans="1:1" x14ac:dyDescent="0.3">
      <c r="A267" s="45"/>
    </row>
    <row r="268" spans="1:1" x14ac:dyDescent="0.3">
      <c r="A268" s="45"/>
    </row>
    <row r="269" spans="1:1" x14ac:dyDescent="0.3">
      <c r="A269" s="45"/>
    </row>
    <row r="270" spans="1:1" x14ac:dyDescent="0.3">
      <c r="A270" s="45"/>
    </row>
    <row r="271" spans="1:1" x14ac:dyDescent="0.3">
      <c r="A271" s="45"/>
    </row>
    <row r="272" spans="1:1" x14ac:dyDescent="0.3">
      <c r="A272" s="45"/>
    </row>
    <row r="273" spans="1:1" x14ac:dyDescent="0.3">
      <c r="A273" s="45"/>
    </row>
    <row r="274" spans="1:1" x14ac:dyDescent="0.3">
      <c r="A274" s="45"/>
    </row>
    <row r="275" spans="1:1" x14ac:dyDescent="0.3">
      <c r="A275" s="45"/>
    </row>
    <row r="276" spans="1:1" x14ac:dyDescent="0.3">
      <c r="A276" s="45"/>
    </row>
    <row r="277" spans="1:1" x14ac:dyDescent="0.3">
      <c r="A277" s="45"/>
    </row>
    <row r="278" spans="1:1" x14ac:dyDescent="0.3">
      <c r="A278" s="45"/>
    </row>
    <row r="279" spans="1:1" x14ac:dyDescent="0.3">
      <c r="A279" s="45"/>
    </row>
    <row r="280" spans="1:1" x14ac:dyDescent="0.3">
      <c r="A280" s="45"/>
    </row>
    <row r="281" spans="1:1" x14ac:dyDescent="0.3">
      <c r="A281" s="45"/>
    </row>
    <row r="282" spans="1:1" x14ac:dyDescent="0.3">
      <c r="A282" s="45"/>
    </row>
    <row r="283" spans="1:1" x14ac:dyDescent="0.3">
      <c r="A283" s="45"/>
    </row>
    <row r="284" spans="1:1" x14ac:dyDescent="0.3">
      <c r="A284" s="45"/>
    </row>
    <row r="285" spans="1:1" x14ac:dyDescent="0.3">
      <c r="A285" s="45"/>
    </row>
    <row r="286" spans="1:1" x14ac:dyDescent="0.3">
      <c r="A286" s="45"/>
    </row>
    <row r="287" spans="1:1" x14ac:dyDescent="0.3">
      <c r="A287" s="45"/>
    </row>
    <row r="288" spans="1:1" x14ac:dyDescent="0.3">
      <c r="A288" s="45"/>
    </row>
    <row r="289" spans="1:1" x14ac:dyDescent="0.3">
      <c r="A289" s="45"/>
    </row>
    <row r="290" spans="1:1" x14ac:dyDescent="0.3">
      <c r="A290" s="45"/>
    </row>
    <row r="291" spans="1:1" x14ac:dyDescent="0.3">
      <c r="A291" s="45"/>
    </row>
    <row r="292" spans="1:1" x14ac:dyDescent="0.3">
      <c r="A292" s="45"/>
    </row>
    <row r="293" spans="1:1" x14ac:dyDescent="0.3">
      <c r="A293" s="45"/>
    </row>
    <row r="294" spans="1:1" x14ac:dyDescent="0.3">
      <c r="A294" s="45"/>
    </row>
    <row r="295" spans="1:1" x14ac:dyDescent="0.3">
      <c r="A295" s="45"/>
    </row>
    <row r="296" spans="1:1" x14ac:dyDescent="0.3">
      <c r="A296" s="45"/>
    </row>
    <row r="297" spans="1:1" x14ac:dyDescent="0.3">
      <c r="A297" s="45"/>
    </row>
    <row r="298" spans="1:1" x14ac:dyDescent="0.3">
      <c r="A298" s="45"/>
    </row>
    <row r="299" spans="1:1" x14ac:dyDescent="0.3">
      <c r="A299" s="45"/>
    </row>
    <row r="300" spans="1:1" x14ac:dyDescent="0.3">
      <c r="A300" s="45"/>
    </row>
    <row r="301" spans="1:1" x14ac:dyDescent="0.3">
      <c r="A301" s="45"/>
    </row>
    <row r="302" spans="1:1" x14ac:dyDescent="0.3">
      <c r="A302" s="45"/>
    </row>
    <row r="303" spans="1:1" x14ac:dyDescent="0.3">
      <c r="A303" s="45"/>
    </row>
    <row r="304" spans="1:1" x14ac:dyDescent="0.3">
      <c r="A304" s="45"/>
    </row>
    <row r="305" spans="1:1" x14ac:dyDescent="0.3">
      <c r="A305" s="45"/>
    </row>
    <row r="306" spans="1:1" x14ac:dyDescent="0.3">
      <c r="A306" s="45"/>
    </row>
    <row r="307" spans="1:1" x14ac:dyDescent="0.3">
      <c r="A307" s="45"/>
    </row>
    <row r="308" spans="1:1" x14ac:dyDescent="0.3">
      <c r="A308" s="45"/>
    </row>
    <row r="309" spans="1:1" x14ac:dyDescent="0.3">
      <c r="A309" s="45"/>
    </row>
    <row r="310" spans="1:1" x14ac:dyDescent="0.3">
      <c r="A310" s="45"/>
    </row>
    <row r="311" spans="1:1" x14ac:dyDescent="0.3">
      <c r="A311" s="45"/>
    </row>
    <row r="312" spans="1:1" x14ac:dyDescent="0.3">
      <c r="A312" s="45"/>
    </row>
    <row r="313" spans="1:1" x14ac:dyDescent="0.3">
      <c r="A313" s="45"/>
    </row>
    <row r="314" spans="1:1" x14ac:dyDescent="0.3">
      <c r="A314" s="45"/>
    </row>
    <row r="315" spans="1:1" x14ac:dyDescent="0.3">
      <c r="A315" s="45"/>
    </row>
    <row r="316" spans="1:1" x14ac:dyDescent="0.3">
      <c r="A316" s="45"/>
    </row>
    <row r="317" spans="1:1" x14ac:dyDescent="0.3">
      <c r="A317" s="45"/>
    </row>
    <row r="318" spans="1:1" x14ac:dyDescent="0.3">
      <c r="A318" s="45"/>
    </row>
    <row r="319" spans="1:1" x14ac:dyDescent="0.3">
      <c r="A319" s="45"/>
    </row>
    <row r="320" spans="1:1" x14ac:dyDescent="0.3">
      <c r="A320" s="45"/>
    </row>
    <row r="321" spans="1:1" x14ac:dyDescent="0.3">
      <c r="A321" s="45"/>
    </row>
    <row r="322" spans="1:1" x14ac:dyDescent="0.3">
      <c r="A322" s="45"/>
    </row>
    <row r="323" spans="1:1" x14ac:dyDescent="0.3">
      <c r="A323" s="45"/>
    </row>
    <row r="324" spans="1:1" x14ac:dyDescent="0.3">
      <c r="A324" s="45"/>
    </row>
    <row r="325" spans="1:1" x14ac:dyDescent="0.3">
      <c r="A325" s="45"/>
    </row>
    <row r="326" spans="1:1" x14ac:dyDescent="0.3">
      <c r="A326" s="45"/>
    </row>
    <row r="327" spans="1:1" x14ac:dyDescent="0.3">
      <c r="A327" s="45"/>
    </row>
    <row r="328" spans="1:1" x14ac:dyDescent="0.3">
      <c r="A328" s="45"/>
    </row>
    <row r="329" spans="1:1" x14ac:dyDescent="0.3">
      <c r="A329" s="45"/>
    </row>
    <row r="330" spans="1:1" x14ac:dyDescent="0.3">
      <c r="A330" s="45"/>
    </row>
    <row r="331" spans="1:1" x14ac:dyDescent="0.3">
      <c r="A331" s="45"/>
    </row>
    <row r="332" spans="1:1" x14ac:dyDescent="0.3">
      <c r="A332" s="45"/>
    </row>
    <row r="333" spans="1:1" x14ac:dyDescent="0.3">
      <c r="A333" s="45"/>
    </row>
    <row r="334" spans="1:1" x14ac:dyDescent="0.3">
      <c r="A334" s="45"/>
    </row>
    <row r="335" spans="1:1" x14ac:dyDescent="0.3">
      <c r="A335" s="45"/>
    </row>
    <row r="336" spans="1:1" x14ac:dyDescent="0.3">
      <c r="A336" s="45"/>
    </row>
    <row r="337" spans="1:1" x14ac:dyDescent="0.3">
      <c r="A337" s="45"/>
    </row>
    <row r="338" spans="1:1" x14ac:dyDescent="0.3">
      <c r="A338" s="45"/>
    </row>
    <row r="339" spans="1:1" x14ac:dyDescent="0.3">
      <c r="A339" s="45"/>
    </row>
    <row r="340" spans="1:1" x14ac:dyDescent="0.3">
      <c r="A340" s="45"/>
    </row>
    <row r="341" spans="1:1" x14ac:dyDescent="0.3">
      <c r="A341" s="45"/>
    </row>
    <row r="342" spans="1:1" x14ac:dyDescent="0.3">
      <c r="A342" s="45"/>
    </row>
    <row r="343" spans="1:1" x14ac:dyDescent="0.3">
      <c r="A343" s="45"/>
    </row>
    <row r="344" spans="1:1" x14ac:dyDescent="0.3">
      <c r="A344" s="45"/>
    </row>
    <row r="345" spans="1:1" x14ac:dyDescent="0.3">
      <c r="A345" s="45"/>
    </row>
    <row r="346" spans="1:1" x14ac:dyDescent="0.3">
      <c r="A346" s="45"/>
    </row>
    <row r="347" spans="1:1" x14ac:dyDescent="0.3">
      <c r="A347" s="45"/>
    </row>
    <row r="348" spans="1:1" x14ac:dyDescent="0.3">
      <c r="A348" s="45"/>
    </row>
    <row r="349" spans="1:1" x14ac:dyDescent="0.3">
      <c r="A349" s="45"/>
    </row>
    <row r="350" spans="1:1" x14ac:dyDescent="0.3">
      <c r="A350" s="45"/>
    </row>
    <row r="351" spans="1:1" x14ac:dyDescent="0.3">
      <c r="A351" s="45"/>
    </row>
    <row r="352" spans="1:1" x14ac:dyDescent="0.3">
      <c r="A352" s="45"/>
    </row>
    <row r="353" spans="1:1" x14ac:dyDescent="0.3">
      <c r="A353" s="45"/>
    </row>
    <row r="354" spans="1:1" x14ac:dyDescent="0.3">
      <c r="A354" s="45"/>
    </row>
    <row r="355" spans="1:1" x14ac:dyDescent="0.3">
      <c r="A355" s="45"/>
    </row>
    <row r="356" spans="1:1" x14ac:dyDescent="0.3">
      <c r="A356" s="45"/>
    </row>
    <row r="357" spans="1:1" x14ac:dyDescent="0.3">
      <c r="A357" s="45"/>
    </row>
    <row r="358" spans="1:1" x14ac:dyDescent="0.3">
      <c r="A358" s="45"/>
    </row>
    <row r="359" spans="1:1" x14ac:dyDescent="0.3">
      <c r="A359" s="45"/>
    </row>
    <row r="360" spans="1:1" x14ac:dyDescent="0.3">
      <c r="A360" s="45"/>
    </row>
    <row r="361" spans="1:1" x14ac:dyDescent="0.3">
      <c r="A361" s="45"/>
    </row>
    <row r="362" spans="1:1" x14ac:dyDescent="0.3">
      <c r="A362" s="45"/>
    </row>
    <row r="363" spans="1:1" x14ac:dyDescent="0.3">
      <c r="A363" s="45"/>
    </row>
    <row r="364" spans="1:1" x14ac:dyDescent="0.3">
      <c r="A364" s="45"/>
    </row>
    <row r="365" spans="1:1" x14ac:dyDescent="0.3">
      <c r="A365" s="45"/>
    </row>
    <row r="366" spans="1:1" x14ac:dyDescent="0.3">
      <c r="A366" s="45"/>
    </row>
    <row r="367" spans="1:1" x14ac:dyDescent="0.3">
      <c r="A367" s="45"/>
    </row>
    <row r="368" spans="1:1" x14ac:dyDescent="0.3">
      <c r="A368" s="45"/>
    </row>
    <row r="369" spans="1:1" x14ac:dyDescent="0.3">
      <c r="A369" s="45"/>
    </row>
    <row r="370" spans="1:1" x14ac:dyDescent="0.3">
      <c r="A370" s="45"/>
    </row>
  </sheetData>
  <pageMargins left="0.7" right="0.7" top="0.75" bottom="0.75" header="0.3" footer="0.3"/>
  <pageSetup scale="79" orientation="landscape" r:id="rId1"/>
  <rowBreaks count="3" manualBreakCount="3">
    <brk id="40" max="16383" man="1"/>
    <brk id="73" max="16383" man="1"/>
    <brk id="11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0"/>
  <sheetViews>
    <sheetView tabSelected="1" zoomScaleNormal="100" workbookViewId="0">
      <selection activeCell="I108" sqref="I108"/>
    </sheetView>
  </sheetViews>
  <sheetFormatPr defaultColWidth="9.109375" defaultRowHeight="14.4" x14ac:dyDescent="0.3"/>
  <cols>
    <col min="1" max="1" width="9.109375" style="112"/>
    <col min="2" max="2" width="37" style="112" customWidth="1"/>
    <col min="3" max="3" width="29.88671875" style="113" customWidth="1"/>
    <col min="4" max="4" width="12.33203125" style="113" customWidth="1"/>
    <col min="5" max="5" width="16.33203125" style="112" bestFit="1" customWidth="1"/>
    <col min="6" max="6" width="13" style="112" customWidth="1"/>
    <col min="7" max="7" width="11.5546875" style="112" bestFit="1" customWidth="1"/>
    <col min="8" max="8" width="14.33203125" style="112" bestFit="1" customWidth="1"/>
    <col min="9" max="9" width="13.44140625" style="112" bestFit="1" customWidth="1"/>
    <col min="10" max="10" width="10.5546875" style="112" bestFit="1" customWidth="1"/>
    <col min="11" max="16384" width="9.109375" style="112"/>
  </cols>
  <sheetData>
    <row r="1" spans="1:8" x14ac:dyDescent="0.3">
      <c r="A1" s="110" t="s">
        <v>4</v>
      </c>
      <c r="B1" s="110"/>
      <c r="C1" s="111"/>
      <c r="D1" s="111"/>
      <c r="E1" s="110"/>
      <c r="F1" s="110"/>
      <c r="G1" s="110"/>
      <c r="H1" s="110"/>
    </row>
    <row r="2" spans="1:8" x14ac:dyDescent="0.3">
      <c r="A2" s="110" t="s">
        <v>0</v>
      </c>
      <c r="B2" s="110"/>
      <c r="C2" s="111"/>
      <c r="D2" s="111"/>
      <c r="E2" s="110"/>
      <c r="F2" s="110"/>
      <c r="G2" s="110"/>
      <c r="H2" s="110"/>
    </row>
    <row r="3" spans="1:8" x14ac:dyDescent="0.3">
      <c r="A3" s="110" t="s">
        <v>117</v>
      </c>
      <c r="B3" s="110"/>
      <c r="C3" s="111"/>
      <c r="D3" s="111"/>
      <c r="E3" s="110"/>
      <c r="F3" s="110"/>
      <c r="G3" s="110"/>
      <c r="H3" s="110"/>
    </row>
    <row r="5" spans="1:8" x14ac:dyDescent="0.3">
      <c r="A5" s="114" t="s">
        <v>2</v>
      </c>
      <c r="D5" s="115" t="s">
        <v>1</v>
      </c>
    </row>
    <row r="6" spans="1:8" x14ac:dyDescent="0.3">
      <c r="A6" s="116">
        <v>1</v>
      </c>
      <c r="B6" s="112" t="s">
        <v>3</v>
      </c>
      <c r="C6" s="113">
        <v>22316709.054313257</v>
      </c>
      <c r="D6" s="113" t="s">
        <v>118</v>
      </c>
      <c r="H6" s="117"/>
    </row>
    <row r="7" spans="1:8" x14ac:dyDescent="0.3">
      <c r="A7" s="116">
        <f>+A6+1</f>
        <v>2</v>
      </c>
      <c r="B7" s="112" t="s">
        <v>5</v>
      </c>
      <c r="C7" s="113">
        <f>+H37</f>
        <v>13275638.052499216</v>
      </c>
      <c r="D7" s="113" t="str">
        <f>+"Line "&amp;A37</f>
        <v>Line 23</v>
      </c>
    </row>
    <row r="8" spans="1:8" x14ac:dyDescent="0.3">
      <c r="A8" s="116">
        <f t="shared" ref="A8:A14" si="0">+A7+1</f>
        <v>3</v>
      </c>
      <c r="B8" s="112" t="s">
        <v>6</v>
      </c>
      <c r="C8" s="113">
        <f>+H52</f>
        <v>444039.82697827765</v>
      </c>
      <c r="D8" s="113" t="str">
        <f>+"Line "&amp;A52</f>
        <v>Line 32</v>
      </c>
    </row>
    <row r="9" spans="1:8" x14ac:dyDescent="0.3">
      <c r="A9" s="116">
        <f t="shared" si="0"/>
        <v>4</v>
      </c>
      <c r="B9" s="112" t="s">
        <v>7</v>
      </c>
      <c r="C9" s="113">
        <f>+H70</f>
        <v>2440610.2388640479</v>
      </c>
      <c r="D9" s="113" t="str">
        <f>+"Line "&amp;A70</f>
        <v>Line 44</v>
      </c>
    </row>
    <row r="10" spans="1:8" x14ac:dyDescent="0.3">
      <c r="A10" s="116">
        <f t="shared" si="0"/>
        <v>5</v>
      </c>
      <c r="B10" s="112" t="s">
        <v>8</v>
      </c>
      <c r="C10" s="113">
        <f>+H88</f>
        <v>3446781.2157207597</v>
      </c>
      <c r="D10" s="113" t="str">
        <f>+"Line "&amp;A88</f>
        <v>Line 56</v>
      </c>
    </row>
    <row r="11" spans="1:8" x14ac:dyDescent="0.3">
      <c r="A11" s="116">
        <f t="shared" si="0"/>
        <v>6</v>
      </c>
      <c r="B11" s="112" t="s">
        <v>9</v>
      </c>
      <c r="C11" s="113">
        <f>+H107</f>
        <v>2293616.3163989782</v>
      </c>
      <c r="D11" s="113" t="str">
        <f>+"Line "&amp;A107</f>
        <v>Line 69</v>
      </c>
    </row>
    <row r="12" spans="1:8" x14ac:dyDescent="0.3">
      <c r="A12" s="116">
        <f t="shared" si="0"/>
        <v>7</v>
      </c>
      <c r="B12" s="112" t="s">
        <v>10</v>
      </c>
      <c r="C12" s="113">
        <f>+I163</f>
        <v>415894.99200000009</v>
      </c>
      <c r="D12" s="113" t="str">
        <f>+"Line "&amp;A163</f>
        <v>Line 107</v>
      </c>
      <c r="F12" s="118"/>
    </row>
    <row r="13" spans="1:8" x14ac:dyDescent="0.3">
      <c r="A13" s="116">
        <f t="shared" si="0"/>
        <v>8</v>
      </c>
      <c r="B13" s="112" t="s">
        <v>11</v>
      </c>
      <c r="C13" s="119">
        <f>SUM(C7:C12)</f>
        <v>22316580.642461278</v>
      </c>
      <c r="E13" s="120"/>
      <c r="F13" s="121"/>
    </row>
    <row r="14" spans="1:8" x14ac:dyDescent="0.3">
      <c r="A14" s="116">
        <f t="shared" si="0"/>
        <v>9</v>
      </c>
      <c r="B14" s="112" t="s">
        <v>12</v>
      </c>
      <c r="C14" s="113">
        <f>+C6-C13</f>
        <v>128.41185197979212</v>
      </c>
    </row>
    <row r="15" spans="1:8" x14ac:dyDescent="0.3">
      <c r="A15" s="116"/>
    </row>
    <row r="16" spans="1:8" x14ac:dyDescent="0.3">
      <c r="A16" s="116"/>
      <c r="B16" s="122" t="s">
        <v>5</v>
      </c>
    </row>
    <row r="17" spans="1:9" x14ac:dyDescent="0.3">
      <c r="A17" s="116">
        <f>+A14+A16</f>
        <v>9</v>
      </c>
      <c r="B17" s="112" t="s">
        <v>13</v>
      </c>
      <c r="C17" s="113">
        <f>'COS Sch 1.2 pg 6of6'!H26</f>
        <v>303511.62701826647</v>
      </c>
      <c r="D17" s="113" t="s">
        <v>119</v>
      </c>
    </row>
    <row r="18" spans="1:9" x14ac:dyDescent="0.3">
      <c r="A18" s="116">
        <f>+A17+1</f>
        <v>10</v>
      </c>
      <c r="B18" s="112" t="s">
        <v>14</v>
      </c>
      <c r="C18" s="113">
        <f>'COS Sch 1.2 pg 6of6'!H27</f>
        <v>13670796.668336693</v>
      </c>
      <c r="D18" s="113" t="s">
        <v>120</v>
      </c>
    </row>
    <row r="19" spans="1:9" x14ac:dyDescent="0.3">
      <c r="A19" s="116">
        <f>+A18+1</f>
        <v>11</v>
      </c>
      <c r="B19" s="112" t="s">
        <v>11</v>
      </c>
      <c r="C19" s="119">
        <f>+C18+C17</f>
        <v>13974308.29535496</v>
      </c>
    </row>
    <row r="20" spans="1:9" x14ac:dyDescent="0.3">
      <c r="A20" s="116">
        <f>+A19+1</f>
        <v>12</v>
      </c>
      <c r="B20" s="112" t="s">
        <v>15</v>
      </c>
      <c r="C20" s="123">
        <v>0.95</v>
      </c>
    </row>
    <row r="21" spans="1:9" ht="16.5" customHeight="1" x14ac:dyDescent="0.3">
      <c r="A21" s="116">
        <f>+A20+1</f>
        <v>13</v>
      </c>
      <c r="B21" s="112" t="s">
        <v>16</v>
      </c>
      <c r="C21" s="124">
        <f>C19*C20</f>
        <v>13275592.880587213</v>
      </c>
      <c r="D21" s="113" t="str">
        <f>+"Line "&amp;A19&amp;" x Line "&amp;A20</f>
        <v>Line 11 x Line 12</v>
      </c>
    </row>
    <row r="22" spans="1:9" ht="16.5" customHeight="1" x14ac:dyDescent="0.3">
      <c r="A22" s="116"/>
    </row>
    <row r="23" spans="1:9" x14ac:dyDescent="0.3">
      <c r="A23" s="116"/>
      <c r="C23" s="115"/>
      <c r="D23" s="111" t="s">
        <v>22</v>
      </c>
      <c r="E23" s="111"/>
      <c r="F23" s="113"/>
      <c r="G23" s="111" t="s">
        <v>29</v>
      </c>
      <c r="H23" s="111"/>
    </row>
    <row r="24" spans="1:9" ht="12" customHeight="1" x14ac:dyDescent="0.3">
      <c r="A24" s="116"/>
      <c r="C24" s="182" t="s">
        <v>19</v>
      </c>
      <c r="D24" s="180" t="s">
        <v>20</v>
      </c>
      <c r="E24" s="181" t="s">
        <v>21</v>
      </c>
      <c r="F24" s="116"/>
      <c r="G24" s="180" t="s">
        <v>20</v>
      </c>
      <c r="H24" s="181" t="s">
        <v>21</v>
      </c>
    </row>
    <row r="25" spans="1:9" x14ac:dyDescent="0.3">
      <c r="A25" s="116"/>
      <c r="B25" s="112" t="s">
        <v>26</v>
      </c>
    </row>
    <row r="26" spans="1:9" x14ac:dyDescent="0.3">
      <c r="A26" s="116">
        <f>+A21+1</f>
        <v>14</v>
      </c>
      <c r="B26" s="126" t="s">
        <v>24</v>
      </c>
      <c r="C26" s="113">
        <f>414*12</f>
        <v>4968</v>
      </c>
      <c r="D26" s="127">
        <v>7.15</v>
      </c>
      <c r="E26" s="128">
        <f>+$C26*D26</f>
        <v>35521.200000000004</v>
      </c>
      <c r="F26" s="117"/>
      <c r="G26" s="129">
        <v>9.02</v>
      </c>
      <c r="H26" s="128">
        <f>+$C26*G26</f>
        <v>44811.360000000001</v>
      </c>
      <c r="I26" s="130"/>
    </row>
    <row r="27" spans="1:9" x14ac:dyDescent="0.3">
      <c r="A27" s="116">
        <f>+A26+1</f>
        <v>15</v>
      </c>
      <c r="B27" s="112" t="s">
        <v>23</v>
      </c>
      <c r="C27" s="113">
        <f>8776*12</f>
        <v>105312</v>
      </c>
      <c r="D27" s="127">
        <v>7.15</v>
      </c>
      <c r="E27" s="128">
        <f>+$C27*D27</f>
        <v>752980.8</v>
      </c>
      <c r="G27" s="131">
        <f>+G26</f>
        <v>9.02</v>
      </c>
      <c r="H27" s="128">
        <f>+$C27*G27</f>
        <v>949914.24</v>
      </c>
      <c r="I27" s="130"/>
    </row>
    <row r="28" spans="1:9" x14ac:dyDescent="0.3">
      <c r="A28" s="116">
        <f>+A27+1</f>
        <v>16</v>
      </c>
      <c r="C28" s="119">
        <f>SUM(C26:C27)</f>
        <v>110280</v>
      </c>
      <c r="E28" s="119">
        <f>SUM(E26:E27)</f>
        <v>788502</v>
      </c>
      <c r="H28" s="119">
        <f>SUM(H26:H27)</f>
        <v>994725.6</v>
      </c>
    </row>
    <row r="29" spans="1:9" x14ac:dyDescent="0.3">
      <c r="A29" s="116"/>
      <c r="B29" s="112" t="s">
        <v>27</v>
      </c>
    </row>
    <row r="30" spans="1:9" x14ac:dyDescent="0.3">
      <c r="A30" s="116">
        <f>+A28+1</f>
        <v>17</v>
      </c>
      <c r="B30" s="126" t="s">
        <v>24</v>
      </c>
      <c r="C30" s="113">
        <v>2258000</v>
      </c>
      <c r="D30" s="132">
        <v>3.28</v>
      </c>
      <c r="E30" s="133">
        <f>+$C30*D30/100</f>
        <v>74062.399999999994</v>
      </c>
      <c r="F30" s="117"/>
      <c r="G30" s="134">
        <v>4.1310000000000002</v>
      </c>
      <c r="H30" s="133">
        <f>+$C30*G30/100</f>
        <v>93277.98</v>
      </c>
      <c r="I30" s="130"/>
    </row>
    <row r="31" spans="1:9" x14ac:dyDescent="0.3">
      <c r="A31" s="116">
        <f>+A30+1</f>
        <v>18</v>
      </c>
      <c r="B31" s="112" t="s">
        <v>23</v>
      </c>
      <c r="C31" s="113">
        <v>297866000</v>
      </c>
      <c r="D31" s="132">
        <v>3.28</v>
      </c>
      <c r="E31" s="133">
        <f>+$C31*D31/100</f>
        <v>9770004.8000000007</v>
      </c>
      <c r="G31" s="130">
        <f>+G30</f>
        <v>4.1310000000000002</v>
      </c>
      <c r="H31" s="133">
        <f>+$C31*G31/100</f>
        <v>12304844.460000001</v>
      </c>
      <c r="I31" s="130"/>
    </row>
    <row r="32" spans="1:9" x14ac:dyDescent="0.3">
      <c r="A32" s="116">
        <f>+A31+1</f>
        <v>19</v>
      </c>
      <c r="C32" s="119">
        <f>SUM(C30:C31)</f>
        <v>300124000</v>
      </c>
      <c r="E32" s="119">
        <f>SUM(E30:E31)</f>
        <v>9844067.2000000011</v>
      </c>
      <c r="H32" s="119">
        <f>SUM(H30:H31)</f>
        <v>12398122.440000001</v>
      </c>
    </row>
    <row r="33" spans="1:8" x14ac:dyDescent="0.3">
      <c r="A33" s="116"/>
      <c r="B33" s="112" t="s">
        <v>25</v>
      </c>
    </row>
    <row r="34" spans="1:8" x14ac:dyDescent="0.3">
      <c r="A34" s="116">
        <f>+A32+1</f>
        <v>20</v>
      </c>
      <c r="B34" s="126" t="s">
        <v>24</v>
      </c>
      <c r="E34" s="113">
        <f>-5079+1978</f>
        <v>-3101</v>
      </c>
      <c r="F34" s="117"/>
      <c r="H34" s="113">
        <f>+(E34/(E26+E30)*(H26+H30))</f>
        <v>-3907.65628561208</v>
      </c>
    </row>
    <row r="35" spans="1:8" x14ac:dyDescent="0.3">
      <c r="A35" s="116">
        <f>+A34+1</f>
        <v>21</v>
      </c>
      <c r="B35" s="112" t="s">
        <v>23</v>
      </c>
      <c r="E35" s="113">
        <f>-169038+79087</f>
        <v>-89951</v>
      </c>
      <c r="H35" s="113">
        <f>+(E35/(E27+E31)*(H27+H31))</f>
        <v>-113302.33121517338</v>
      </c>
    </row>
    <row r="36" spans="1:8" x14ac:dyDescent="0.3">
      <c r="A36" s="116">
        <f>+A35+1</f>
        <v>22</v>
      </c>
      <c r="E36" s="119">
        <f>SUM(E34:E35)</f>
        <v>-93052</v>
      </c>
      <c r="H36" s="119">
        <f>SUM(H34:H35)</f>
        <v>-117209.98750078547</v>
      </c>
    </row>
    <row r="37" spans="1:8" ht="15" thickBot="1" x14ac:dyDescent="0.35">
      <c r="A37" s="116">
        <f>+A36+1</f>
        <v>23</v>
      </c>
      <c r="B37" s="112" t="s">
        <v>28</v>
      </c>
      <c r="E37" s="135">
        <f>+E28+E32+E36</f>
        <v>10539517.200000001</v>
      </c>
      <c r="F37" s="136"/>
      <c r="H37" s="135">
        <f>+H28+H32+H36</f>
        <v>13275638.052499216</v>
      </c>
    </row>
    <row r="38" spans="1:8" ht="15" thickTop="1" x14ac:dyDescent="0.3">
      <c r="A38" s="116">
        <f>+A37+1</f>
        <v>24</v>
      </c>
      <c r="B38" s="112" t="s">
        <v>31</v>
      </c>
      <c r="H38" s="128">
        <f>+H37-C21</f>
        <v>45.171912003308535</v>
      </c>
    </row>
    <row r="39" spans="1:8" x14ac:dyDescent="0.3">
      <c r="A39" s="116">
        <f>+A38+1</f>
        <v>25</v>
      </c>
      <c r="B39" s="112" t="s">
        <v>30</v>
      </c>
      <c r="E39" s="137">
        <f>+(C21/E37)-1</f>
        <v>0.25960161444465513</v>
      </c>
      <c r="H39" s="138">
        <f>+(H37/E37)-1</f>
        <v>0.25960590040113174</v>
      </c>
    </row>
    <row r="42" spans="1:8" x14ac:dyDescent="0.3">
      <c r="A42" s="116"/>
      <c r="B42" s="122" t="s">
        <v>34</v>
      </c>
    </row>
    <row r="43" spans="1:8" x14ac:dyDescent="0.3">
      <c r="A43" s="116">
        <f>+A39+1</f>
        <v>26</v>
      </c>
      <c r="B43" s="112" t="s">
        <v>32</v>
      </c>
      <c r="C43" s="119">
        <f>'COS Sch 1.2 pg 6of6'!H28</f>
        <v>422922.84544349916</v>
      </c>
      <c r="D43" s="113" t="s">
        <v>121</v>
      </c>
    </row>
    <row r="44" spans="1:8" x14ac:dyDescent="0.3">
      <c r="A44" s="116">
        <f>+A43+1</f>
        <v>27</v>
      </c>
      <c r="B44" s="112" t="s">
        <v>15</v>
      </c>
      <c r="C44" s="123">
        <v>1.05</v>
      </c>
    </row>
    <row r="45" spans="1:8" ht="16.5" customHeight="1" x14ac:dyDescent="0.3">
      <c r="A45" s="116">
        <f>+A44+1</f>
        <v>28</v>
      </c>
      <c r="B45" s="112" t="s">
        <v>16</v>
      </c>
      <c r="C45" s="113">
        <f>+C43*C44</f>
        <v>444068.98771567416</v>
      </c>
    </row>
    <row r="46" spans="1:8" x14ac:dyDescent="0.3">
      <c r="A46" s="116"/>
      <c r="C46" s="115"/>
      <c r="D46" s="111" t="s">
        <v>22</v>
      </c>
      <c r="E46" s="111"/>
      <c r="F46" s="113"/>
      <c r="G46" s="111" t="s">
        <v>29</v>
      </c>
      <c r="H46" s="111"/>
    </row>
    <row r="47" spans="1:8" ht="12" customHeight="1" x14ac:dyDescent="0.3">
      <c r="A47" s="116"/>
      <c r="C47" s="182" t="s">
        <v>19</v>
      </c>
      <c r="D47" s="180" t="s">
        <v>20</v>
      </c>
      <c r="E47" s="181" t="s">
        <v>21</v>
      </c>
      <c r="F47" s="116"/>
      <c r="G47" s="180" t="s">
        <v>20</v>
      </c>
      <c r="H47" s="181" t="s">
        <v>21</v>
      </c>
    </row>
    <row r="48" spans="1:8" x14ac:dyDescent="0.3">
      <c r="A48" s="116"/>
    </row>
    <row r="49" spans="1:9" x14ac:dyDescent="0.3">
      <c r="A49" s="116">
        <f>+A45+1</f>
        <v>29</v>
      </c>
      <c r="B49" s="112" t="s">
        <v>26</v>
      </c>
      <c r="C49" s="113">
        <f>472*12</f>
        <v>5664</v>
      </c>
      <c r="D49" s="127">
        <v>10.45</v>
      </c>
      <c r="E49" s="128">
        <f>+$C49*D49</f>
        <v>59188.799999999996</v>
      </c>
      <c r="F49" s="117"/>
      <c r="G49" s="139">
        <v>13.43</v>
      </c>
      <c r="H49" s="128">
        <f>+$C49*G49</f>
        <v>76067.520000000004</v>
      </c>
      <c r="I49" s="130"/>
    </row>
    <row r="50" spans="1:9" x14ac:dyDescent="0.3">
      <c r="A50" s="116">
        <f>+A49+1</f>
        <v>30</v>
      </c>
      <c r="B50" s="112" t="s">
        <v>27</v>
      </c>
      <c r="C50" s="113">
        <v>5537410</v>
      </c>
      <c r="D50" s="132">
        <v>5.24</v>
      </c>
      <c r="E50" s="133">
        <f>+$C50*D50/100</f>
        <v>290160.28400000004</v>
      </c>
      <c r="F50" s="117"/>
      <c r="G50" s="140">
        <v>6.734</v>
      </c>
      <c r="H50" s="133">
        <f>+$C50*G50/100</f>
        <v>372889.18939999997</v>
      </c>
      <c r="I50" s="130"/>
    </row>
    <row r="51" spans="1:9" x14ac:dyDescent="0.3">
      <c r="A51" s="116">
        <f>+A50+1</f>
        <v>31</v>
      </c>
      <c r="B51" s="112" t="s">
        <v>25</v>
      </c>
      <c r="E51" s="113">
        <f>-7437+3611</f>
        <v>-3826</v>
      </c>
      <c r="F51" s="141"/>
      <c r="H51" s="113">
        <f>+(E51/(E49+E50)*(H49+H50))</f>
        <v>-4916.8824217223364</v>
      </c>
    </row>
    <row r="52" spans="1:9" ht="15" thickBot="1" x14ac:dyDescent="0.35">
      <c r="A52" s="116">
        <f>+A51+1</f>
        <v>32</v>
      </c>
      <c r="B52" s="112" t="s">
        <v>28</v>
      </c>
      <c r="E52" s="135">
        <f>+E49+E50+E51</f>
        <v>345523.08400000003</v>
      </c>
      <c r="H52" s="135">
        <f>+H49+H50+H51</f>
        <v>444039.82697827765</v>
      </c>
    </row>
    <row r="53" spans="1:9" ht="15" thickTop="1" x14ac:dyDescent="0.3">
      <c r="A53" s="116">
        <f>+A52+1</f>
        <v>33</v>
      </c>
      <c r="B53" s="112" t="s">
        <v>31</v>
      </c>
      <c r="H53" s="128">
        <f>+H52-C45</f>
        <v>-29.160737396508921</v>
      </c>
    </row>
    <row r="54" spans="1:9" x14ac:dyDescent="0.3">
      <c r="A54" s="116">
        <f>+A53+1</f>
        <v>34</v>
      </c>
      <c r="B54" s="112" t="s">
        <v>30</v>
      </c>
      <c r="E54" s="137">
        <f>+(C45/E52)-1</f>
        <v>0.28520787258218072</v>
      </c>
      <c r="H54" s="138">
        <f>+(H52/E52)-1</f>
        <v>0.28512347666553484</v>
      </c>
    </row>
    <row r="56" spans="1:9" x14ac:dyDescent="0.3">
      <c r="A56" s="116"/>
      <c r="B56" s="122" t="s">
        <v>35</v>
      </c>
    </row>
    <row r="57" spans="1:9" x14ac:dyDescent="0.3">
      <c r="A57" s="116">
        <f>+A53+1</f>
        <v>34</v>
      </c>
      <c r="B57" s="112" t="s">
        <v>32</v>
      </c>
      <c r="C57" s="119">
        <f>'COS Sch 1.2 pg 6of6'!H29</f>
        <v>2156844.9823270985</v>
      </c>
      <c r="D57" s="113" t="s">
        <v>122</v>
      </c>
    </row>
    <row r="58" spans="1:9" x14ac:dyDescent="0.3">
      <c r="A58" s="116">
        <f>+A57+1</f>
        <v>35</v>
      </c>
      <c r="B58" s="112" t="s">
        <v>15</v>
      </c>
      <c r="C58" s="123">
        <v>1.1315999999999999</v>
      </c>
      <c r="H58" s="112">
        <v>110.7</v>
      </c>
    </row>
    <row r="59" spans="1:9" ht="16.5" customHeight="1" x14ac:dyDescent="0.3">
      <c r="A59" s="116">
        <f>+A58+1</f>
        <v>36</v>
      </c>
      <c r="B59" s="112" t="s">
        <v>16</v>
      </c>
      <c r="C59" s="113">
        <f>+C57*C58</f>
        <v>2440685.7820013445</v>
      </c>
    </row>
    <row r="61" spans="1:9" x14ac:dyDescent="0.3">
      <c r="C61" s="115"/>
      <c r="D61" s="111" t="s">
        <v>22</v>
      </c>
      <c r="E61" s="111"/>
      <c r="F61" s="113"/>
      <c r="G61" s="111" t="s">
        <v>29</v>
      </c>
      <c r="H61" s="111"/>
    </row>
    <row r="62" spans="1:9" x14ac:dyDescent="0.3">
      <c r="A62" s="116"/>
      <c r="B62" s="122"/>
      <c r="C62" s="182" t="s">
        <v>19</v>
      </c>
      <c r="D62" s="180" t="s">
        <v>20</v>
      </c>
      <c r="E62" s="181" t="s">
        <v>21</v>
      </c>
      <c r="F62" s="116"/>
      <c r="G62" s="180" t="s">
        <v>20</v>
      </c>
      <c r="H62" s="181" t="s">
        <v>21</v>
      </c>
    </row>
    <row r="63" spans="1:9" x14ac:dyDescent="0.3">
      <c r="A63" s="112">
        <f>+A59+1</f>
        <v>37</v>
      </c>
      <c r="B63" s="112" t="s">
        <v>36</v>
      </c>
      <c r="C63" s="113">
        <v>67498510</v>
      </c>
      <c r="D63" s="132">
        <v>2.4329999999999998</v>
      </c>
      <c r="E63" s="142">
        <f>+$C63*D63/100</f>
        <v>1642238.7482999999</v>
      </c>
      <c r="F63" s="143"/>
      <c r="G63" s="134">
        <v>2.8450000000000002</v>
      </c>
      <c r="H63" s="142">
        <f>+$C63*G63/100</f>
        <v>1920332.6095000003</v>
      </c>
      <c r="I63" s="130"/>
    </row>
    <row r="64" spans="1:9" x14ac:dyDescent="0.3">
      <c r="A64" s="112">
        <f>+A63+1</f>
        <v>38</v>
      </c>
      <c r="B64" s="112" t="s">
        <v>37</v>
      </c>
      <c r="C64" s="113">
        <v>207060</v>
      </c>
      <c r="D64" s="127">
        <v>2.2000000000000002</v>
      </c>
      <c r="E64" s="113">
        <f>+$C64*D64</f>
        <v>455532.00000000006</v>
      </c>
      <c r="G64" s="129">
        <v>2.5499999999999998</v>
      </c>
      <c r="H64" s="113">
        <f>+$C64*G64</f>
        <v>528003</v>
      </c>
      <c r="I64" s="130"/>
    </row>
    <row r="65" spans="1:10" x14ac:dyDescent="0.3">
      <c r="A65" s="112">
        <f t="shared" ref="A65:A72" si="1">+A64+1</f>
        <v>39</v>
      </c>
      <c r="B65" s="112" t="s">
        <v>38</v>
      </c>
      <c r="C65" s="113">
        <v>90180</v>
      </c>
      <c r="D65" s="127">
        <v>6.8</v>
      </c>
      <c r="E65" s="142">
        <f>+$C65*D65/100</f>
        <v>6132.24</v>
      </c>
      <c r="G65" s="117">
        <f>+D65</f>
        <v>6.8</v>
      </c>
      <c r="H65" s="142">
        <f>+$C65*G65/100</f>
        <v>6132.24</v>
      </c>
    </row>
    <row r="66" spans="1:10" x14ac:dyDescent="0.3">
      <c r="A66" s="112">
        <f t="shared" si="1"/>
        <v>40</v>
      </c>
      <c r="B66" s="112" t="s">
        <v>42</v>
      </c>
      <c r="C66" s="113">
        <f>SUM('[2]Det Rev Production Curr Rates'!$E$232:$P$232)</f>
        <v>59</v>
      </c>
      <c r="D66" s="127">
        <v>20</v>
      </c>
      <c r="E66" s="113">
        <f>+$C66*D66</f>
        <v>1180</v>
      </c>
      <c r="G66" s="117">
        <f>+D66</f>
        <v>20</v>
      </c>
      <c r="H66" s="113">
        <f>+$C66*G66</f>
        <v>1180</v>
      </c>
    </row>
    <row r="67" spans="1:10" x14ac:dyDescent="0.3">
      <c r="A67" s="112">
        <f t="shared" si="1"/>
        <v>41</v>
      </c>
      <c r="B67" s="112" t="s">
        <v>39</v>
      </c>
      <c r="C67" s="113">
        <f>E67/D67</f>
        <v>5660.9523809523807</v>
      </c>
      <c r="D67" s="127">
        <v>1.05</v>
      </c>
      <c r="E67" s="113">
        <v>5944</v>
      </c>
      <c r="G67" s="117">
        <f>+D67</f>
        <v>1.05</v>
      </c>
      <c r="H67" s="113">
        <f>+$C67*G67</f>
        <v>5944</v>
      </c>
    </row>
    <row r="68" spans="1:10" x14ac:dyDescent="0.3">
      <c r="A68" s="112">
        <f t="shared" si="1"/>
        <v>42</v>
      </c>
      <c r="B68" s="112" t="s">
        <v>40</v>
      </c>
      <c r="C68" s="113">
        <f>E68/D68</f>
        <v>10116</v>
      </c>
      <c r="D68" s="124">
        <v>-0.25</v>
      </c>
      <c r="E68" s="113">
        <f>-2529</f>
        <v>-2529</v>
      </c>
      <c r="G68" s="117">
        <f>+D68</f>
        <v>-0.25</v>
      </c>
      <c r="H68" s="113">
        <f>+$C68*G68</f>
        <v>-2529</v>
      </c>
    </row>
    <row r="69" spans="1:10" x14ac:dyDescent="0.3">
      <c r="A69" s="112">
        <f t="shared" si="1"/>
        <v>43</v>
      </c>
      <c r="B69" s="112" t="s">
        <v>25</v>
      </c>
      <c r="E69" s="113">
        <f>-31001+15179</f>
        <v>-15822</v>
      </c>
      <c r="H69" s="127">
        <f>+(E69/(SUM(E63:E68)))*SUM(H63:H68)</f>
        <v>-18452.610635952486</v>
      </c>
    </row>
    <row r="70" spans="1:10" ht="15" thickBot="1" x14ac:dyDescent="0.35">
      <c r="A70" s="112">
        <f t="shared" si="1"/>
        <v>44</v>
      </c>
      <c r="B70" s="112" t="s">
        <v>41</v>
      </c>
      <c r="E70" s="144">
        <f>SUM(E63:E69)</f>
        <v>2092675.9883000003</v>
      </c>
      <c r="H70" s="144">
        <f>SUM(H63:H69)</f>
        <v>2440610.2388640479</v>
      </c>
      <c r="J70" s="128"/>
    </row>
    <row r="71" spans="1:10" ht="15" thickTop="1" x14ac:dyDescent="0.3">
      <c r="A71" s="112">
        <f t="shared" si="1"/>
        <v>45</v>
      </c>
      <c r="B71" s="112" t="s">
        <v>31</v>
      </c>
      <c r="H71" s="128">
        <f>+H70-C59</f>
        <v>-75.543137296568602</v>
      </c>
    </row>
    <row r="72" spans="1:10" x14ac:dyDescent="0.3">
      <c r="A72" s="112">
        <f t="shared" si="1"/>
        <v>46</v>
      </c>
      <c r="B72" s="112" t="s">
        <v>30</v>
      </c>
      <c r="E72" s="137">
        <f>+(C59/E70)-1</f>
        <v>0.16629893765066428</v>
      </c>
      <c r="F72" s="117"/>
      <c r="H72" s="138">
        <f>+(H70/E70)-1</f>
        <v>0.16626283882900306</v>
      </c>
    </row>
    <row r="74" spans="1:10" x14ac:dyDescent="0.3">
      <c r="A74" s="116"/>
      <c r="B74" s="122" t="s">
        <v>44</v>
      </c>
    </row>
    <row r="75" spans="1:10" x14ac:dyDescent="0.3">
      <c r="A75" s="116">
        <f>+A71+1</f>
        <v>46</v>
      </c>
      <c r="B75" s="112" t="s">
        <v>32</v>
      </c>
      <c r="C75" s="119">
        <f>'COS Sch 1.2 pg 6of6'!H30</f>
        <v>3162379.3493884336</v>
      </c>
      <c r="D75" s="113" t="s">
        <v>123</v>
      </c>
      <c r="H75" s="112">
        <v>110.7</v>
      </c>
    </row>
    <row r="76" spans="1:10" x14ac:dyDescent="0.3">
      <c r="A76" s="116">
        <f>+A75+1</f>
        <v>47</v>
      </c>
      <c r="B76" s="112" t="s">
        <v>15</v>
      </c>
      <c r="C76" s="123">
        <v>1.0900000000000001</v>
      </c>
    </row>
    <row r="77" spans="1:10" ht="16.5" customHeight="1" x14ac:dyDescent="0.3">
      <c r="A77" s="116">
        <f>+A76+1</f>
        <v>48</v>
      </c>
      <c r="B77" s="112" t="s">
        <v>16</v>
      </c>
      <c r="C77" s="113">
        <f>+C75*C76</f>
        <v>3446993.4908333928</v>
      </c>
      <c r="F77" s="116"/>
    </row>
    <row r="78" spans="1:10" x14ac:dyDescent="0.3">
      <c r="C78" s="124">
        <f>C77-C75-C14</f>
        <v>284485.72959297942</v>
      </c>
    </row>
    <row r="79" spans="1:10" x14ac:dyDescent="0.3">
      <c r="B79" s="145"/>
      <c r="C79" s="115"/>
      <c r="D79" s="111" t="s">
        <v>22</v>
      </c>
      <c r="E79" s="111"/>
      <c r="F79" s="113"/>
      <c r="G79" s="111" t="s">
        <v>29</v>
      </c>
      <c r="H79" s="111"/>
    </row>
    <row r="80" spans="1:10" x14ac:dyDescent="0.3">
      <c r="A80" s="146"/>
      <c r="B80" s="122"/>
      <c r="C80" s="182" t="s">
        <v>19</v>
      </c>
      <c r="D80" s="180" t="s">
        <v>20</v>
      </c>
      <c r="E80" s="181" t="s">
        <v>21</v>
      </c>
      <c r="G80" s="180" t="s">
        <v>20</v>
      </c>
      <c r="H80" s="181" t="s">
        <v>21</v>
      </c>
    </row>
    <row r="81" spans="1:10" x14ac:dyDescent="0.3">
      <c r="A81" s="146">
        <f>+A77+1</f>
        <v>49</v>
      </c>
      <c r="B81" s="112" t="s">
        <v>36</v>
      </c>
      <c r="C81" s="113">
        <v>109912220</v>
      </c>
      <c r="D81" s="132">
        <v>2.1030000000000002</v>
      </c>
      <c r="E81" s="142">
        <f>+$C81*D81/100</f>
        <v>2311453.9866000004</v>
      </c>
      <c r="F81" s="143"/>
      <c r="G81" s="134">
        <v>2.4550000000000001</v>
      </c>
      <c r="H81" s="142">
        <f>+$C81*G81/100</f>
        <v>2698345.0010000002</v>
      </c>
      <c r="I81" s="130"/>
    </row>
    <row r="82" spans="1:10" x14ac:dyDescent="0.3">
      <c r="A82" s="146">
        <f>+A81+1</f>
        <v>50</v>
      </c>
      <c r="B82" s="112" t="s">
        <v>37</v>
      </c>
      <c r="C82" s="113">
        <v>327670</v>
      </c>
      <c r="D82" s="127">
        <v>2</v>
      </c>
      <c r="E82" s="113">
        <f>+$C82*D82</f>
        <v>655340</v>
      </c>
      <c r="G82" s="129">
        <v>2.35</v>
      </c>
      <c r="H82" s="113">
        <f>+$C82*G82</f>
        <v>770024.5</v>
      </c>
      <c r="I82" s="130"/>
    </row>
    <row r="83" spans="1:10" x14ac:dyDescent="0.3">
      <c r="A83" s="146">
        <f t="shared" ref="A83:A90" si="2">+A82+1</f>
        <v>51</v>
      </c>
      <c r="B83" s="112" t="s">
        <v>38</v>
      </c>
      <c r="C83" s="113">
        <v>62200</v>
      </c>
      <c r="D83" s="127">
        <v>6.8</v>
      </c>
      <c r="E83" s="142">
        <f>+$C83*D83/100</f>
        <v>4229.6000000000004</v>
      </c>
      <c r="G83" s="117">
        <f>+D83</f>
        <v>6.8</v>
      </c>
      <c r="H83" s="142">
        <f>+$C83*G83/100</f>
        <v>4229.6000000000004</v>
      </c>
    </row>
    <row r="84" spans="1:10" x14ac:dyDescent="0.3">
      <c r="A84" s="146">
        <f t="shared" si="2"/>
        <v>52</v>
      </c>
      <c r="B84" s="112" t="s">
        <v>42</v>
      </c>
      <c r="D84" s="127"/>
      <c r="E84" s="113">
        <f>+$C84*D84</f>
        <v>0</v>
      </c>
      <c r="G84" s="117">
        <f>+D84</f>
        <v>0</v>
      </c>
      <c r="H84" s="113">
        <f>+$C84*G84</f>
        <v>0</v>
      </c>
    </row>
    <row r="85" spans="1:10" x14ac:dyDescent="0.3">
      <c r="A85" s="146">
        <f t="shared" si="2"/>
        <v>53</v>
      </c>
      <c r="B85" s="112" t="s">
        <v>43</v>
      </c>
      <c r="C85" s="113">
        <f>E85/D85</f>
        <v>11482.857142857143</v>
      </c>
      <c r="D85" s="127">
        <v>1.05</v>
      </c>
      <c r="E85" s="113">
        <v>12057</v>
      </c>
      <c r="G85" s="117">
        <f>+D85</f>
        <v>1.05</v>
      </c>
      <c r="H85" s="113">
        <f>+$C85*G85</f>
        <v>12057</v>
      </c>
    </row>
    <row r="86" spans="1:10" x14ac:dyDescent="0.3">
      <c r="A86" s="146">
        <f t="shared" si="2"/>
        <v>54</v>
      </c>
      <c r="B86" s="112" t="s">
        <v>40</v>
      </c>
      <c r="C86" s="113">
        <f>E86/D86</f>
        <v>50800</v>
      </c>
      <c r="D86" s="124">
        <v>-0.25</v>
      </c>
      <c r="E86" s="113">
        <v>-12700</v>
      </c>
      <c r="G86" s="117">
        <f>+D86</f>
        <v>-0.25</v>
      </c>
      <c r="H86" s="113">
        <f>+$C86*G86</f>
        <v>-12700</v>
      </c>
    </row>
    <row r="87" spans="1:10" x14ac:dyDescent="0.3">
      <c r="A87" s="146">
        <f t="shared" si="2"/>
        <v>55</v>
      </c>
      <c r="B87" s="112" t="s">
        <v>25</v>
      </c>
      <c r="E87" s="113">
        <f>-44822+23284</f>
        <v>-21538</v>
      </c>
      <c r="H87" s="127">
        <f>+(E87/(SUM(E81:E86)))*SUM(H81:H86)</f>
        <v>-25174.885279240465</v>
      </c>
    </row>
    <row r="88" spans="1:10" ht="15" thickBot="1" x14ac:dyDescent="0.35">
      <c r="A88" s="146">
        <f t="shared" si="2"/>
        <v>56</v>
      </c>
      <c r="B88" s="112" t="s">
        <v>41</v>
      </c>
      <c r="E88" s="144">
        <f>SUM(E81:E87)</f>
        <v>2948842.5866000005</v>
      </c>
      <c r="H88" s="144">
        <f>SUM(H81:H87)</f>
        <v>3446781.2157207597</v>
      </c>
      <c r="J88" s="128"/>
    </row>
    <row r="89" spans="1:10" ht="15" thickTop="1" x14ac:dyDescent="0.3">
      <c r="A89" s="146">
        <f t="shared" si="2"/>
        <v>57</v>
      </c>
      <c r="B89" s="112" t="s">
        <v>31</v>
      </c>
      <c r="H89" s="128">
        <f>+H88-C77</f>
        <v>-212.27511263312772</v>
      </c>
    </row>
    <row r="90" spans="1:10" x14ac:dyDescent="0.3">
      <c r="A90" s="146">
        <f t="shared" si="2"/>
        <v>58</v>
      </c>
      <c r="B90" s="112" t="s">
        <v>30</v>
      </c>
      <c r="E90" s="137">
        <f>+(C77/E88)-1</f>
        <v>0.16893099228051978</v>
      </c>
      <c r="H90" s="138">
        <f>+(H88/E88)-1</f>
        <v>0.16885900637201523</v>
      </c>
      <c r="J90" s="147"/>
    </row>
    <row r="91" spans="1:10" x14ac:dyDescent="0.3">
      <c r="A91" s="146"/>
      <c r="F91" s="117"/>
    </row>
    <row r="92" spans="1:10" x14ac:dyDescent="0.3">
      <c r="A92" s="146"/>
    </row>
    <row r="93" spans="1:10" x14ac:dyDescent="0.3">
      <c r="A93" s="146"/>
      <c r="B93" s="122" t="s">
        <v>45</v>
      </c>
    </row>
    <row r="94" spans="1:10" x14ac:dyDescent="0.3">
      <c r="A94" s="146">
        <f>+A90+1</f>
        <v>59</v>
      </c>
      <c r="B94" s="112" t="s">
        <v>32</v>
      </c>
      <c r="C94" s="119">
        <f>'COS Sch 1.2 pg 6of6'!H31</f>
        <v>2184417.4178235303</v>
      </c>
      <c r="D94" s="113" t="s">
        <v>124</v>
      </c>
    </row>
    <row r="95" spans="1:10" x14ac:dyDescent="0.3">
      <c r="A95" s="146">
        <f>+A94+1</f>
        <v>60</v>
      </c>
      <c r="B95" s="112" t="s">
        <v>15</v>
      </c>
      <c r="C95" s="123">
        <v>1.05</v>
      </c>
      <c r="H95" s="117"/>
    </row>
    <row r="96" spans="1:10" ht="16.5" customHeight="1" x14ac:dyDescent="0.3">
      <c r="A96" s="146">
        <f>+A95+1</f>
        <v>61</v>
      </c>
      <c r="B96" s="112" t="s">
        <v>16</v>
      </c>
      <c r="C96" s="113">
        <f>+C94*C95</f>
        <v>2293638.2887147069</v>
      </c>
    </row>
    <row r="97" spans="1:9" x14ac:dyDescent="0.3">
      <c r="A97" s="146"/>
    </row>
    <row r="98" spans="1:9" x14ac:dyDescent="0.3">
      <c r="A98" s="146"/>
      <c r="C98" s="115"/>
      <c r="D98" s="111" t="s">
        <v>22</v>
      </c>
      <c r="E98" s="111"/>
      <c r="F98" s="113"/>
      <c r="G98" s="111" t="s">
        <v>29</v>
      </c>
      <c r="H98" s="111"/>
    </row>
    <row r="99" spans="1:9" x14ac:dyDescent="0.3">
      <c r="A99" s="146"/>
      <c r="B99" s="122"/>
      <c r="C99" s="182" t="s">
        <v>19</v>
      </c>
      <c r="D99" s="180" t="s">
        <v>20</v>
      </c>
      <c r="E99" s="181" t="s">
        <v>21</v>
      </c>
      <c r="F99" s="116"/>
      <c r="G99" s="180" t="s">
        <v>20</v>
      </c>
      <c r="H99" s="181" t="s">
        <v>21</v>
      </c>
    </row>
    <row r="100" spans="1:9" x14ac:dyDescent="0.3">
      <c r="A100" s="146">
        <f>+A96+1</f>
        <v>62</v>
      </c>
      <c r="B100" s="112" t="s">
        <v>36</v>
      </c>
      <c r="C100" s="113">
        <f>79753000-21911000+((21911000+45540000)/2)</f>
        <v>91567500</v>
      </c>
      <c r="D100" s="132">
        <v>1.7330000000000001</v>
      </c>
      <c r="E100" s="142">
        <f>+$C100*D100/100</f>
        <v>1586864.7749999999</v>
      </c>
      <c r="F100" s="143"/>
      <c r="G100" s="134">
        <v>2.0979999999999999</v>
      </c>
      <c r="H100" s="142">
        <f>+$C100*G100/100</f>
        <v>1921086.15</v>
      </c>
      <c r="I100" s="130"/>
    </row>
    <row r="101" spans="1:9" x14ac:dyDescent="0.3">
      <c r="A101" s="146">
        <f>+A100+1</f>
        <v>63</v>
      </c>
      <c r="B101" s="112" t="s">
        <v>37</v>
      </c>
      <c r="C101" s="113">
        <f>159808-60865+((60865+125600)/2)</f>
        <v>192175.5</v>
      </c>
      <c r="D101" s="127">
        <v>1.75</v>
      </c>
      <c r="E101" s="113">
        <f>+$C101*D101</f>
        <v>336307.125</v>
      </c>
      <c r="F101" s="117"/>
      <c r="G101" s="129">
        <v>2.15</v>
      </c>
      <c r="H101" s="113">
        <f>+$C101*G101</f>
        <v>413177.32500000001</v>
      </c>
      <c r="I101" s="130"/>
    </row>
    <row r="102" spans="1:9" x14ac:dyDescent="0.3">
      <c r="A102" s="146">
        <f t="shared" ref="A102:A109" si="3">+A101+1</f>
        <v>64</v>
      </c>
      <c r="B102" s="112" t="s">
        <v>38</v>
      </c>
      <c r="C102" s="124"/>
      <c r="D102" s="127">
        <v>6.8</v>
      </c>
      <c r="E102" s="142">
        <f>+$C102*D102/100</f>
        <v>0</v>
      </c>
      <c r="G102" s="117">
        <f>+D102</f>
        <v>6.8</v>
      </c>
      <c r="H102" s="142">
        <f>+$C102*G102/100</f>
        <v>0</v>
      </c>
    </row>
    <row r="103" spans="1:9" x14ac:dyDescent="0.3">
      <c r="A103" s="146">
        <f t="shared" si="3"/>
        <v>65</v>
      </c>
      <c r="B103" s="112" t="s">
        <v>42</v>
      </c>
      <c r="C103" s="124"/>
      <c r="D103" s="127"/>
      <c r="E103" s="113">
        <f>+$C103*D103</f>
        <v>0</v>
      </c>
      <c r="G103" s="117">
        <f>+D103</f>
        <v>0</v>
      </c>
      <c r="H103" s="113">
        <f>+$C103*G103</f>
        <v>0</v>
      </c>
    </row>
    <row r="104" spans="1:9" x14ac:dyDescent="0.3">
      <c r="A104" s="146">
        <f t="shared" si="3"/>
        <v>66</v>
      </c>
      <c r="B104" s="112" t="s">
        <v>43</v>
      </c>
      <c r="D104" s="127">
        <v>1.05</v>
      </c>
      <c r="E104" s="113">
        <f>+$C104*D104</f>
        <v>0</v>
      </c>
      <c r="G104" s="117">
        <f>+D104</f>
        <v>1.05</v>
      </c>
      <c r="H104" s="113">
        <f>+$C104*G104</f>
        <v>0</v>
      </c>
    </row>
    <row r="105" spans="1:9" x14ac:dyDescent="0.3">
      <c r="A105" s="146">
        <f t="shared" si="3"/>
        <v>67</v>
      </c>
      <c r="B105" s="112" t="s">
        <v>40</v>
      </c>
      <c r="C105" s="113">
        <f>E105/D105</f>
        <v>128312</v>
      </c>
      <c r="D105" s="124">
        <v>-0.25</v>
      </c>
      <c r="E105" s="113">
        <v>-32078</v>
      </c>
      <c r="G105" s="117">
        <f>+D105</f>
        <v>-0.25</v>
      </c>
      <c r="H105" s="113">
        <f>+$C105*G105</f>
        <v>-32078</v>
      </c>
    </row>
    <row r="106" spans="1:9" x14ac:dyDescent="0.3">
      <c r="A106" s="146">
        <f t="shared" si="3"/>
        <v>68</v>
      </c>
      <c r="B106" s="112" t="s">
        <v>25</v>
      </c>
      <c r="E106" s="113">
        <f>-17082+10043</f>
        <v>-7039</v>
      </c>
      <c r="H106" s="127">
        <f>+(E106/(SUM(E100:E105)))*SUM(H100:H105)</f>
        <v>-8569.1586010218743</v>
      </c>
    </row>
    <row r="107" spans="1:9" ht="15" thickBot="1" x14ac:dyDescent="0.35">
      <c r="A107" s="146">
        <f t="shared" si="3"/>
        <v>69</v>
      </c>
      <c r="B107" s="112" t="s">
        <v>41</v>
      </c>
      <c r="E107" s="144">
        <f>SUM(E100:E106)</f>
        <v>1884054.9</v>
      </c>
      <c r="H107" s="144">
        <f>SUM(H100:H106)</f>
        <v>2293616.3163989782</v>
      </c>
    </row>
    <row r="108" spans="1:9" ht="15" thickTop="1" x14ac:dyDescent="0.3">
      <c r="A108" s="146">
        <f t="shared" si="3"/>
        <v>70</v>
      </c>
      <c r="B108" s="112" t="s">
        <v>31</v>
      </c>
      <c r="H108" s="128">
        <f>+H107-C96</f>
        <v>-21.972315728664398</v>
      </c>
    </row>
    <row r="109" spans="1:9" x14ac:dyDescent="0.3">
      <c r="A109" s="146">
        <f t="shared" si="3"/>
        <v>71</v>
      </c>
      <c r="B109" s="112" t="s">
        <v>30</v>
      </c>
      <c r="E109" s="137">
        <f>+(C96/E107)-1</f>
        <v>0.21739461451718145</v>
      </c>
      <c r="H109" s="138">
        <f>+(H107/E107)-1</f>
        <v>0.21738295226905446</v>
      </c>
    </row>
    <row r="110" spans="1:9" ht="15" thickBot="1" x14ac:dyDescent="0.35">
      <c r="A110" s="148"/>
      <c r="B110" s="149"/>
      <c r="C110" s="150"/>
      <c r="D110" s="150"/>
      <c r="E110" s="149"/>
      <c r="F110" s="149"/>
      <c r="G110" s="149"/>
      <c r="H110" s="149"/>
      <c r="I110" s="149"/>
    </row>
    <row r="111" spans="1:9" x14ac:dyDescent="0.3">
      <c r="A111" s="146"/>
      <c r="B111" s="100" t="s">
        <v>10</v>
      </c>
      <c r="D111" s="113" t="s">
        <v>49</v>
      </c>
      <c r="E111" s="112" t="s">
        <v>50</v>
      </c>
      <c r="F111" s="112" t="s">
        <v>28</v>
      </c>
    </row>
    <row r="112" spans="1:9" x14ac:dyDescent="0.3">
      <c r="A112" s="146"/>
      <c r="B112" s="151" t="s">
        <v>74</v>
      </c>
      <c r="C112" s="151"/>
      <c r="D112" s="101"/>
      <c r="E112" s="101"/>
      <c r="F112" s="101" t="s">
        <v>56</v>
      </c>
      <c r="G112" s="101"/>
      <c r="H112" s="101"/>
      <c r="I112" s="101"/>
    </row>
    <row r="113" spans="1:9" x14ac:dyDescent="0.3">
      <c r="A113" s="146"/>
      <c r="C113" s="112"/>
      <c r="D113" s="112" t="s">
        <v>57</v>
      </c>
      <c r="E113" s="112" t="s">
        <v>58</v>
      </c>
      <c r="F113" s="112" t="s">
        <v>59</v>
      </c>
      <c r="G113" s="112" t="s">
        <v>60</v>
      </c>
      <c r="H113" s="112" t="s">
        <v>61</v>
      </c>
      <c r="I113" s="112" t="s">
        <v>62</v>
      </c>
    </row>
    <row r="114" spans="1:9" x14ac:dyDescent="0.3">
      <c r="A114" s="146">
        <f>+A109+1</f>
        <v>72</v>
      </c>
      <c r="B114" s="152" t="s">
        <v>46</v>
      </c>
      <c r="C114" s="152"/>
      <c r="D114" s="153">
        <v>1003</v>
      </c>
      <c r="E114" s="106">
        <v>10</v>
      </c>
      <c r="F114" s="102">
        <f>D114*E114</f>
        <v>10030</v>
      </c>
      <c r="G114" s="102">
        <v>45</v>
      </c>
      <c r="H114" s="102">
        <f>D114*G114</f>
        <v>45135</v>
      </c>
      <c r="I114" s="102"/>
    </row>
    <row r="115" spans="1:9" x14ac:dyDescent="0.3">
      <c r="A115" s="146">
        <f t="shared" ref="A115:A121" si="4">+A114+1</f>
        <v>73</v>
      </c>
      <c r="B115" s="152" t="s">
        <v>51</v>
      </c>
      <c r="C115" s="152"/>
      <c r="D115" s="153">
        <v>0</v>
      </c>
      <c r="E115" s="106">
        <v>0</v>
      </c>
      <c r="F115" s="102">
        <f t="shared" ref="F115:F120" si="5">D115*E115</f>
        <v>0</v>
      </c>
      <c r="G115" s="102">
        <v>67</v>
      </c>
      <c r="H115" s="102">
        <f t="shared" ref="H115:H120" si="6">D115*G115</f>
        <v>0</v>
      </c>
      <c r="I115" s="102"/>
    </row>
    <row r="116" spans="1:9" x14ac:dyDescent="0.3">
      <c r="A116" s="146">
        <f t="shared" si="4"/>
        <v>74</v>
      </c>
      <c r="B116" s="152" t="s">
        <v>52</v>
      </c>
      <c r="C116" s="152"/>
      <c r="D116" s="153">
        <v>0</v>
      </c>
      <c r="E116" s="106">
        <v>0</v>
      </c>
      <c r="F116" s="102">
        <f t="shared" si="5"/>
        <v>0</v>
      </c>
      <c r="G116" s="102">
        <v>99</v>
      </c>
      <c r="H116" s="102">
        <f t="shared" si="6"/>
        <v>0</v>
      </c>
      <c r="I116" s="102"/>
    </row>
    <row r="117" spans="1:9" x14ac:dyDescent="0.3">
      <c r="A117" s="146">
        <f t="shared" si="4"/>
        <v>75</v>
      </c>
      <c r="B117" s="152" t="s">
        <v>53</v>
      </c>
      <c r="C117" s="152"/>
      <c r="D117" s="153">
        <v>12</v>
      </c>
      <c r="E117" s="106">
        <v>23</v>
      </c>
      <c r="F117" s="102">
        <f t="shared" si="5"/>
        <v>276</v>
      </c>
      <c r="G117" s="102">
        <v>166</v>
      </c>
      <c r="H117" s="102">
        <f t="shared" si="6"/>
        <v>1992</v>
      </c>
      <c r="I117" s="102"/>
    </row>
    <row r="118" spans="1:9" x14ac:dyDescent="0.3">
      <c r="A118" s="146">
        <f t="shared" si="4"/>
        <v>76</v>
      </c>
      <c r="B118" s="152" t="s">
        <v>47</v>
      </c>
      <c r="C118" s="152"/>
      <c r="D118" s="153">
        <v>340</v>
      </c>
      <c r="E118" s="106">
        <v>13.5</v>
      </c>
      <c r="F118" s="102">
        <f t="shared" si="5"/>
        <v>4590</v>
      </c>
      <c r="G118" s="102">
        <v>99</v>
      </c>
      <c r="H118" s="102">
        <f t="shared" si="6"/>
        <v>33660</v>
      </c>
      <c r="I118" s="102"/>
    </row>
    <row r="119" spans="1:9" x14ac:dyDescent="0.3">
      <c r="A119" s="146">
        <f t="shared" si="4"/>
        <v>77</v>
      </c>
      <c r="B119" s="152" t="s">
        <v>54</v>
      </c>
      <c r="C119" s="152"/>
      <c r="D119" s="153">
        <v>0</v>
      </c>
      <c r="E119" s="106">
        <v>0</v>
      </c>
      <c r="F119" s="102">
        <f t="shared" si="5"/>
        <v>0</v>
      </c>
      <c r="G119" s="102">
        <v>166</v>
      </c>
      <c r="H119" s="102">
        <f t="shared" si="6"/>
        <v>0</v>
      </c>
      <c r="I119" s="102"/>
    </row>
    <row r="120" spans="1:9" x14ac:dyDescent="0.3">
      <c r="A120" s="146">
        <f t="shared" si="4"/>
        <v>78</v>
      </c>
      <c r="B120" s="154" t="s">
        <v>48</v>
      </c>
      <c r="C120" s="154"/>
      <c r="D120" s="153">
        <v>359</v>
      </c>
      <c r="E120" s="106">
        <v>3.4</v>
      </c>
      <c r="F120" s="103">
        <f t="shared" si="5"/>
        <v>1220.5999999999999</v>
      </c>
      <c r="G120" s="103">
        <v>0</v>
      </c>
      <c r="H120" s="103">
        <f t="shared" si="6"/>
        <v>0</v>
      </c>
      <c r="I120" s="103"/>
    </row>
    <row r="121" spans="1:9" x14ac:dyDescent="0.3">
      <c r="A121" s="146">
        <f t="shared" si="4"/>
        <v>79</v>
      </c>
      <c r="B121" s="152"/>
      <c r="C121" s="152"/>
      <c r="D121" s="104">
        <f>SUM(D114:D120)</f>
        <v>1714</v>
      </c>
      <c r="F121" s="105">
        <f>SUM(F114:F120)</f>
        <v>16116.6</v>
      </c>
      <c r="G121" s="102"/>
      <c r="H121" s="105">
        <f>SUM(H114:H120)</f>
        <v>80787</v>
      </c>
      <c r="I121" s="105">
        <f>H121*12/1000</f>
        <v>969.44399999999996</v>
      </c>
    </row>
    <row r="122" spans="1:9" x14ac:dyDescent="0.3">
      <c r="A122" s="146"/>
      <c r="B122" s="152"/>
      <c r="C122" s="152"/>
      <c r="D122" s="104"/>
      <c r="F122" s="102"/>
      <c r="G122" s="102"/>
      <c r="H122" s="102"/>
      <c r="I122" s="102"/>
    </row>
    <row r="123" spans="1:9" x14ac:dyDescent="0.3">
      <c r="A123" s="146"/>
      <c r="B123" s="152"/>
      <c r="C123" s="152"/>
      <c r="D123" s="104"/>
      <c r="F123" s="102"/>
      <c r="G123" s="102"/>
      <c r="H123" s="102"/>
      <c r="I123" s="102"/>
    </row>
    <row r="124" spans="1:9" x14ac:dyDescent="0.3">
      <c r="A124" s="146">
        <f>+A121+1</f>
        <v>80</v>
      </c>
      <c r="B124" s="112" t="s">
        <v>55</v>
      </c>
      <c r="C124" s="153">
        <v>942</v>
      </c>
      <c r="D124" s="112"/>
    </row>
    <row r="125" spans="1:9" x14ac:dyDescent="0.3">
      <c r="A125" s="146">
        <f>+A124+1</f>
        <v>81</v>
      </c>
      <c r="B125" s="155" t="s">
        <v>63</v>
      </c>
      <c r="C125" s="104"/>
      <c r="D125" s="117">
        <f>H125/G125</f>
        <v>-50.822222222222152</v>
      </c>
      <c r="E125" s="106">
        <f>E114</f>
        <v>10</v>
      </c>
      <c r="F125" s="42">
        <f>D125*E125</f>
        <v>-508.22222222222149</v>
      </c>
      <c r="G125" s="112">
        <v>45</v>
      </c>
      <c r="H125" s="107">
        <f>I125*1000/12</f>
        <v>-2286.9999999999968</v>
      </c>
      <c r="I125" s="107">
        <f>C124-I121</f>
        <v>-27.44399999999996</v>
      </c>
    </row>
    <row r="126" spans="1:9" x14ac:dyDescent="0.3">
      <c r="A126" s="146"/>
      <c r="B126" s="155"/>
      <c r="C126" s="104"/>
      <c r="D126" s="117"/>
      <c r="E126" s="105"/>
      <c r="F126" s="42"/>
      <c r="H126" s="108"/>
      <c r="I126" s="117"/>
    </row>
    <row r="127" spans="1:9" x14ac:dyDescent="0.3">
      <c r="A127" s="146">
        <f>+A125+1</f>
        <v>82</v>
      </c>
      <c r="B127" s="155" t="s">
        <v>64</v>
      </c>
      <c r="C127" s="104"/>
      <c r="D127" s="117"/>
      <c r="E127" s="105"/>
      <c r="F127" s="109">
        <f>F121+F125</f>
        <v>15608.37777777778</v>
      </c>
      <c r="H127" s="107">
        <f>H121+H125</f>
        <v>78500</v>
      </c>
      <c r="I127" s="107">
        <f>I121+I125</f>
        <v>942</v>
      </c>
    </row>
    <row r="128" spans="1:9" x14ac:dyDescent="0.3">
      <c r="A128" s="146"/>
      <c r="B128" s="155"/>
      <c r="C128" s="104"/>
      <c r="D128" s="117"/>
      <c r="E128" s="105"/>
      <c r="F128" s="42"/>
      <c r="H128" s="117"/>
      <c r="I128" s="117"/>
    </row>
    <row r="129" spans="1:9" x14ac:dyDescent="0.3">
      <c r="A129" s="146">
        <f>+A127+1</f>
        <v>83</v>
      </c>
      <c r="B129" s="152" t="s">
        <v>65</v>
      </c>
      <c r="C129" s="153">
        <v>237</v>
      </c>
      <c r="D129" s="112"/>
    </row>
    <row r="130" spans="1:9" x14ac:dyDescent="0.3">
      <c r="A130" s="146"/>
    </row>
    <row r="131" spans="1:9" x14ac:dyDescent="0.3">
      <c r="A131" s="146"/>
    </row>
    <row r="132" spans="1:9" x14ac:dyDescent="0.3">
      <c r="A132" s="146"/>
      <c r="B132" s="151" t="s">
        <v>74</v>
      </c>
      <c r="C132" s="151"/>
      <c r="D132" s="101" t="s">
        <v>66</v>
      </c>
      <c r="E132" s="101"/>
      <c r="F132" s="101"/>
      <c r="G132" s="101"/>
      <c r="H132" s="101"/>
      <c r="I132" s="101"/>
    </row>
    <row r="133" spans="1:9" x14ac:dyDescent="0.3">
      <c r="A133" s="146"/>
      <c r="C133" s="112"/>
      <c r="D133" s="112" t="s">
        <v>57</v>
      </c>
      <c r="E133" s="112" t="s">
        <v>58</v>
      </c>
      <c r="F133" s="112" t="s">
        <v>59</v>
      </c>
      <c r="G133" s="112" t="s">
        <v>60</v>
      </c>
      <c r="H133" s="112" t="s">
        <v>61</v>
      </c>
      <c r="I133" s="112" t="s">
        <v>62</v>
      </c>
    </row>
    <row r="134" spans="1:9" x14ac:dyDescent="0.3">
      <c r="A134" s="146">
        <f>+A129+1</f>
        <v>84</v>
      </c>
      <c r="B134" s="152" t="s">
        <v>46</v>
      </c>
      <c r="C134" s="152"/>
      <c r="D134" s="153">
        <v>377</v>
      </c>
      <c r="E134" s="106">
        <f>10*(1+F131)</f>
        <v>10</v>
      </c>
      <c r="F134" s="102">
        <f>D134*E134</f>
        <v>3770</v>
      </c>
      <c r="G134" s="102">
        <v>45</v>
      </c>
      <c r="H134" s="102">
        <f>D134*G134</f>
        <v>16965</v>
      </c>
      <c r="I134" s="102"/>
    </row>
    <row r="135" spans="1:9" x14ac:dyDescent="0.3">
      <c r="A135" s="146">
        <f>+A134+1</f>
        <v>85</v>
      </c>
      <c r="B135" s="152" t="s">
        <v>46</v>
      </c>
      <c r="C135" s="152"/>
      <c r="D135" s="153">
        <v>780</v>
      </c>
      <c r="E135" s="106">
        <f>4.1*(1+F131)</f>
        <v>4.0999999999999996</v>
      </c>
      <c r="F135" s="102">
        <f t="shared" ref="F135:F142" si="7">D135*E135</f>
        <v>3197.9999999999995</v>
      </c>
      <c r="G135" s="102">
        <v>45</v>
      </c>
      <c r="H135" s="102">
        <f t="shared" ref="H135:H142" si="8">D135*G135</f>
        <v>35100</v>
      </c>
      <c r="I135" s="102"/>
    </row>
    <row r="136" spans="1:9" x14ac:dyDescent="0.3">
      <c r="A136" s="146">
        <f>+A135+1</f>
        <v>86</v>
      </c>
      <c r="B136" s="152" t="s">
        <v>46</v>
      </c>
      <c r="C136" s="152"/>
      <c r="D136" s="153">
        <v>139</v>
      </c>
      <c r="E136" s="106">
        <v>6.75</v>
      </c>
      <c r="F136" s="102">
        <f t="shared" si="7"/>
        <v>938.25</v>
      </c>
      <c r="G136" s="102">
        <v>45</v>
      </c>
      <c r="H136" s="102">
        <f t="shared" si="8"/>
        <v>6255</v>
      </c>
      <c r="I136" s="102"/>
    </row>
    <row r="137" spans="1:9" x14ac:dyDescent="0.3">
      <c r="A137" s="146">
        <f t="shared" ref="A137:A142" si="9">+A136+1</f>
        <v>87</v>
      </c>
      <c r="B137" s="152" t="s">
        <v>51</v>
      </c>
      <c r="C137" s="152"/>
      <c r="D137" s="153">
        <v>32</v>
      </c>
      <c r="E137" s="106">
        <f>13.5*(1+F131)</f>
        <v>13.5</v>
      </c>
      <c r="F137" s="102">
        <f t="shared" si="7"/>
        <v>432</v>
      </c>
      <c r="G137" s="102">
        <v>67</v>
      </c>
      <c r="H137" s="102">
        <f t="shared" si="8"/>
        <v>2144</v>
      </c>
      <c r="I137" s="102"/>
    </row>
    <row r="138" spans="1:9" x14ac:dyDescent="0.3">
      <c r="A138" s="146">
        <f t="shared" si="9"/>
        <v>88</v>
      </c>
      <c r="B138" s="152" t="s">
        <v>52</v>
      </c>
      <c r="C138" s="152"/>
      <c r="D138" s="153">
        <v>0</v>
      </c>
      <c r="E138" s="106">
        <f>0*(1+F131)</f>
        <v>0</v>
      </c>
      <c r="F138" s="102">
        <f t="shared" si="7"/>
        <v>0</v>
      </c>
      <c r="G138" s="102">
        <v>99</v>
      </c>
      <c r="H138" s="102">
        <f t="shared" si="8"/>
        <v>0</v>
      </c>
      <c r="I138" s="102"/>
    </row>
    <row r="139" spans="1:9" x14ac:dyDescent="0.3">
      <c r="A139" s="146">
        <f t="shared" si="9"/>
        <v>89</v>
      </c>
      <c r="B139" s="152" t="s">
        <v>53</v>
      </c>
      <c r="C139" s="152"/>
      <c r="D139" s="153">
        <v>0</v>
      </c>
      <c r="E139" s="106">
        <f>0*(1+F131)</f>
        <v>0</v>
      </c>
      <c r="F139" s="102">
        <f t="shared" si="7"/>
        <v>0</v>
      </c>
      <c r="G139" s="102">
        <v>166</v>
      </c>
      <c r="H139" s="102">
        <f t="shared" si="8"/>
        <v>0</v>
      </c>
      <c r="I139" s="102"/>
    </row>
    <row r="140" spans="1:9" x14ac:dyDescent="0.3">
      <c r="A140" s="146">
        <f t="shared" si="9"/>
        <v>90</v>
      </c>
      <c r="B140" s="152" t="s">
        <v>47</v>
      </c>
      <c r="C140" s="152"/>
      <c r="D140" s="153">
        <v>40</v>
      </c>
      <c r="E140" s="106">
        <v>13.5</v>
      </c>
      <c r="F140" s="102">
        <f t="shared" si="7"/>
        <v>540</v>
      </c>
      <c r="G140" s="102">
        <v>99</v>
      </c>
      <c r="H140" s="102">
        <f t="shared" si="8"/>
        <v>3960</v>
      </c>
      <c r="I140" s="102"/>
    </row>
    <row r="141" spans="1:9" x14ac:dyDescent="0.3">
      <c r="A141" s="146">
        <f t="shared" si="9"/>
        <v>91</v>
      </c>
      <c r="B141" s="152" t="s">
        <v>54</v>
      </c>
      <c r="C141" s="152"/>
      <c r="D141" s="153"/>
      <c r="E141" s="106">
        <f>0*(1+F131)</f>
        <v>0</v>
      </c>
      <c r="F141" s="102">
        <f t="shared" si="7"/>
        <v>0</v>
      </c>
      <c r="G141" s="102">
        <v>166</v>
      </c>
      <c r="H141" s="102">
        <f t="shared" si="8"/>
        <v>0</v>
      </c>
      <c r="I141" s="102"/>
    </row>
    <row r="142" spans="1:9" x14ac:dyDescent="0.3">
      <c r="A142" s="146">
        <f t="shared" si="9"/>
        <v>92</v>
      </c>
      <c r="B142" s="154" t="s">
        <v>48</v>
      </c>
      <c r="C142" s="154"/>
      <c r="D142" s="153">
        <v>28</v>
      </c>
      <c r="E142" s="106">
        <f>3.4*(1+F131)</f>
        <v>3.4</v>
      </c>
      <c r="F142" s="103">
        <f t="shared" si="7"/>
        <v>95.2</v>
      </c>
      <c r="G142" s="103">
        <v>0</v>
      </c>
      <c r="H142" s="103">
        <f t="shared" si="8"/>
        <v>0</v>
      </c>
      <c r="I142" s="103"/>
    </row>
    <row r="143" spans="1:9" x14ac:dyDescent="0.3">
      <c r="A143" s="146">
        <f>+A142+1</f>
        <v>93</v>
      </c>
      <c r="B143" s="152"/>
      <c r="C143" s="152"/>
      <c r="D143" s="104">
        <f>SUM(D134:D142)</f>
        <v>1396</v>
      </c>
      <c r="F143" s="105">
        <f>SUM(F134:F142)</f>
        <v>8973.4500000000007</v>
      </c>
      <c r="G143" s="102"/>
      <c r="H143" s="105">
        <f>SUM(H134:H142)</f>
        <v>64424</v>
      </c>
      <c r="I143" s="105">
        <f>H143*12/1000</f>
        <v>773.08799999999997</v>
      </c>
    </row>
    <row r="144" spans="1:9" x14ac:dyDescent="0.3">
      <c r="A144" s="146"/>
      <c r="B144" s="152"/>
      <c r="C144" s="152"/>
      <c r="D144" s="104"/>
      <c r="F144" s="102"/>
      <c r="G144" s="102"/>
      <c r="H144" s="102"/>
      <c r="I144" s="102"/>
    </row>
    <row r="145" spans="1:10" x14ac:dyDescent="0.3">
      <c r="A145" s="146">
        <f>+A143+1</f>
        <v>94</v>
      </c>
      <c r="B145" s="112" t="s">
        <v>55</v>
      </c>
      <c r="C145" s="153">
        <v>756</v>
      </c>
      <c r="D145" s="112"/>
    </row>
    <row r="146" spans="1:10" x14ac:dyDescent="0.3">
      <c r="A146" s="146">
        <f>+A145+1</f>
        <v>95</v>
      </c>
      <c r="B146" s="155" t="s">
        <v>63</v>
      </c>
      <c r="C146" s="104"/>
      <c r="D146" s="117">
        <f>H146/45</f>
        <v>-31.644444444444378</v>
      </c>
      <c r="E146" s="106">
        <f>E134</f>
        <v>10</v>
      </c>
      <c r="F146" s="42">
        <f>D146*E146</f>
        <v>-316.44444444444377</v>
      </c>
      <c r="G146" s="112">
        <v>45</v>
      </c>
      <c r="H146" s="107">
        <f>I146*1000/12</f>
        <v>-1423.999999999997</v>
      </c>
      <c r="I146" s="107">
        <f>C145-I143</f>
        <v>-17.087999999999965</v>
      </c>
    </row>
    <row r="147" spans="1:10" x14ac:dyDescent="0.3">
      <c r="A147" s="146"/>
      <c r="B147" s="155"/>
      <c r="C147" s="104"/>
      <c r="D147" s="117"/>
      <c r="E147" s="105"/>
      <c r="F147" s="42"/>
      <c r="H147" s="117"/>
      <c r="I147" s="117"/>
    </row>
    <row r="148" spans="1:10" x14ac:dyDescent="0.3">
      <c r="A148" s="146">
        <f>+A146+1</f>
        <v>96</v>
      </c>
      <c r="B148" s="155" t="s">
        <v>64</v>
      </c>
      <c r="C148" s="104"/>
      <c r="D148" s="117"/>
      <c r="E148" s="105"/>
      <c r="F148" s="109">
        <f>F143+F146</f>
        <v>8657.0055555555573</v>
      </c>
      <c r="H148" s="107">
        <f>H143+H146</f>
        <v>63000</v>
      </c>
      <c r="I148" s="107">
        <f>I143+I146</f>
        <v>756</v>
      </c>
    </row>
    <row r="149" spans="1:10" x14ac:dyDescent="0.3">
      <c r="A149" s="146"/>
      <c r="B149" s="155"/>
      <c r="C149" s="104"/>
      <c r="D149" s="117"/>
      <c r="E149" s="105"/>
      <c r="F149" s="42"/>
      <c r="H149" s="117"/>
      <c r="I149" s="117"/>
    </row>
    <row r="150" spans="1:10" x14ac:dyDescent="0.3">
      <c r="A150" s="146">
        <f>+A148+1</f>
        <v>97</v>
      </c>
      <c r="B150" s="152" t="s">
        <v>65</v>
      </c>
      <c r="C150" s="153">
        <v>133</v>
      </c>
      <c r="D150" s="112"/>
    </row>
    <row r="151" spans="1:10" x14ac:dyDescent="0.3">
      <c r="A151" s="146"/>
      <c r="C151" s="128"/>
      <c r="D151" s="112"/>
    </row>
    <row r="152" spans="1:10" x14ac:dyDescent="0.3">
      <c r="A152" s="146"/>
      <c r="B152" s="122" t="s">
        <v>28</v>
      </c>
      <c r="D152" s="115"/>
      <c r="E152" s="111" t="s">
        <v>22</v>
      </c>
      <c r="F152" s="111"/>
      <c r="H152" s="111" t="s">
        <v>29</v>
      </c>
      <c r="I152" s="111"/>
    </row>
    <row r="153" spans="1:10" x14ac:dyDescent="0.3">
      <c r="A153" s="146"/>
      <c r="D153" s="125" t="s">
        <v>19</v>
      </c>
      <c r="E153" s="125" t="s">
        <v>20</v>
      </c>
      <c r="F153" s="114" t="s">
        <v>21</v>
      </c>
      <c r="H153" s="125" t="s">
        <v>20</v>
      </c>
      <c r="I153" s="114" t="s">
        <v>21</v>
      </c>
    </row>
    <row r="154" spans="1:10" x14ac:dyDescent="0.3">
      <c r="A154" s="146">
        <f>+A150+1</f>
        <v>98</v>
      </c>
      <c r="B154" s="152" t="s">
        <v>46</v>
      </c>
      <c r="D154" s="113">
        <f>+D114+D134+D125+D146</f>
        <v>1297.5333333333335</v>
      </c>
      <c r="E154" s="156">
        <v>10</v>
      </c>
      <c r="F154" s="117">
        <f>+$D154*E154*12</f>
        <v>155704.00000000003</v>
      </c>
      <c r="G154" s="117"/>
      <c r="H154" s="156">
        <v>14.28</v>
      </c>
      <c r="I154" s="117">
        <f>+$D154*H154*12</f>
        <v>222345.31200000003</v>
      </c>
      <c r="J154" s="130">
        <f t="shared" ref="J154:J160" si="10">H154/E154</f>
        <v>1.4279999999999999</v>
      </c>
    </row>
    <row r="155" spans="1:10" x14ac:dyDescent="0.3">
      <c r="A155" s="146">
        <f>+A154+1</f>
        <v>99</v>
      </c>
      <c r="B155" s="152" t="s">
        <v>46</v>
      </c>
      <c r="D155" s="113">
        <f>+D115+D135</f>
        <v>780</v>
      </c>
      <c r="E155" s="156">
        <v>4.0999999999999996</v>
      </c>
      <c r="F155" s="117">
        <f t="shared" ref="F155:F162" si="11">+$D155*E155*12</f>
        <v>38375.999999999993</v>
      </c>
      <c r="G155" s="117"/>
      <c r="H155" s="156">
        <v>5.86</v>
      </c>
      <c r="I155" s="117">
        <f t="shared" ref="I155:I162" si="12">+$D155*H155*12</f>
        <v>54849.600000000006</v>
      </c>
      <c r="J155" s="130">
        <f t="shared" si="10"/>
        <v>1.429268292682927</v>
      </c>
    </row>
    <row r="156" spans="1:10" x14ac:dyDescent="0.3">
      <c r="A156" s="146">
        <f t="shared" ref="A156:A165" si="13">+A155+1</f>
        <v>100</v>
      </c>
      <c r="B156" s="152" t="s">
        <v>46</v>
      </c>
      <c r="D156" s="113">
        <f>+D136</f>
        <v>139</v>
      </c>
      <c r="E156" s="156">
        <f>E136</f>
        <v>6.75</v>
      </c>
      <c r="F156" s="117">
        <f>+$D156*E156*12</f>
        <v>11259</v>
      </c>
      <c r="G156" s="117"/>
      <c r="H156" s="156">
        <v>9.64</v>
      </c>
      <c r="I156" s="117">
        <f t="shared" si="12"/>
        <v>16079.52</v>
      </c>
      <c r="J156" s="130">
        <f t="shared" si="10"/>
        <v>1.4281481481481482</v>
      </c>
    </row>
    <row r="157" spans="1:10" x14ac:dyDescent="0.3">
      <c r="A157" s="146">
        <f t="shared" si="13"/>
        <v>101</v>
      </c>
      <c r="B157" s="152" t="s">
        <v>51</v>
      </c>
      <c r="D157" s="113">
        <f>+D137+D115</f>
        <v>32</v>
      </c>
      <c r="E157" s="156">
        <v>13.5</v>
      </c>
      <c r="F157" s="117">
        <f t="shared" si="11"/>
        <v>5184</v>
      </c>
      <c r="G157" s="117"/>
      <c r="H157" s="156">
        <v>19.28</v>
      </c>
      <c r="I157" s="117">
        <f t="shared" si="12"/>
        <v>7403.52</v>
      </c>
      <c r="J157" s="130">
        <f t="shared" si="10"/>
        <v>1.4281481481481482</v>
      </c>
    </row>
    <row r="158" spans="1:10" x14ac:dyDescent="0.3">
      <c r="A158" s="146">
        <f t="shared" si="13"/>
        <v>102</v>
      </c>
      <c r="B158" s="152" t="s">
        <v>52</v>
      </c>
      <c r="D158" s="113">
        <f>+D138+D116</f>
        <v>0</v>
      </c>
      <c r="E158" s="156">
        <v>17.8</v>
      </c>
      <c r="F158" s="117">
        <f t="shared" si="11"/>
        <v>0</v>
      </c>
      <c r="G158" s="117"/>
      <c r="H158" s="156">
        <v>25.42</v>
      </c>
      <c r="I158" s="117">
        <f t="shared" si="12"/>
        <v>0</v>
      </c>
      <c r="J158" s="130">
        <f t="shared" si="10"/>
        <v>1.4280898876404495</v>
      </c>
    </row>
    <row r="159" spans="1:10" x14ac:dyDescent="0.3">
      <c r="A159" s="146">
        <f t="shared" si="13"/>
        <v>103</v>
      </c>
      <c r="B159" s="152" t="s">
        <v>53</v>
      </c>
      <c r="D159" s="113">
        <f>D117</f>
        <v>12</v>
      </c>
      <c r="E159" s="156">
        <v>23</v>
      </c>
      <c r="F159" s="117">
        <f t="shared" si="11"/>
        <v>3312</v>
      </c>
      <c r="G159" s="117"/>
      <c r="H159" s="156">
        <v>32.85</v>
      </c>
      <c r="I159" s="117">
        <f t="shared" si="12"/>
        <v>4730.4000000000005</v>
      </c>
      <c r="J159" s="130">
        <f t="shared" si="10"/>
        <v>1.4282608695652175</v>
      </c>
    </row>
    <row r="160" spans="1:10" x14ac:dyDescent="0.3">
      <c r="A160" s="146">
        <f t="shared" si="13"/>
        <v>104</v>
      </c>
      <c r="B160" s="152" t="s">
        <v>47</v>
      </c>
      <c r="D160" s="113">
        <f>+D118+D140</f>
        <v>380</v>
      </c>
      <c r="E160" s="156">
        <v>13.5</v>
      </c>
      <c r="F160" s="117">
        <f t="shared" si="11"/>
        <v>61560</v>
      </c>
      <c r="G160" s="117"/>
      <c r="H160" s="156">
        <v>19.28</v>
      </c>
      <c r="I160" s="117">
        <f t="shared" si="12"/>
        <v>87916.800000000003</v>
      </c>
      <c r="J160" s="130">
        <f t="shared" si="10"/>
        <v>1.4281481481481482</v>
      </c>
    </row>
    <row r="161" spans="1:10" x14ac:dyDescent="0.3">
      <c r="A161" s="146">
        <f t="shared" si="13"/>
        <v>105</v>
      </c>
      <c r="B161" s="152" t="s">
        <v>54</v>
      </c>
      <c r="D161" s="113">
        <f>+D119+D141</f>
        <v>0</v>
      </c>
      <c r="E161" s="156">
        <v>0</v>
      </c>
      <c r="F161" s="117">
        <f t="shared" si="11"/>
        <v>0</v>
      </c>
      <c r="H161" s="156">
        <v>0</v>
      </c>
      <c r="I161" s="117">
        <f t="shared" si="12"/>
        <v>0</v>
      </c>
      <c r="J161" s="130"/>
    </row>
    <row r="162" spans="1:10" x14ac:dyDescent="0.3">
      <c r="A162" s="146">
        <f t="shared" si="13"/>
        <v>106</v>
      </c>
      <c r="B162" s="183" t="s">
        <v>48</v>
      </c>
      <c r="D162" s="113">
        <f>+D120+D142</f>
        <v>387</v>
      </c>
      <c r="E162" s="156">
        <v>3.4</v>
      </c>
      <c r="F162" s="117">
        <f t="shared" si="11"/>
        <v>15789.599999999999</v>
      </c>
      <c r="H162" s="156">
        <v>4.8600000000000003</v>
      </c>
      <c r="I162" s="117">
        <f t="shared" si="12"/>
        <v>22569.840000000004</v>
      </c>
      <c r="J162" s="130">
        <f>H162/E162</f>
        <v>1.4294117647058824</v>
      </c>
    </row>
    <row r="163" spans="1:10" ht="15" thickBot="1" x14ac:dyDescent="0.35">
      <c r="A163" s="146">
        <f t="shared" si="13"/>
        <v>107</v>
      </c>
      <c r="F163" s="157">
        <f>SUM(F154:F162)</f>
        <v>291184.59999999998</v>
      </c>
      <c r="H163" s="156"/>
      <c r="I163" s="157">
        <f>SUM(I154:I162)</f>
        <v>415894.99200000009</v>
      </c>
    </row>
    <row r="164" spans="1:10" ht="15" thickTop="1" x14ac:dyDescent="0.3">
      <c r="A164" s="146">
        <f t="shared" si="13"/>
        <v>108</v>
      </c>
      <c r="F164" s="137">
        <f>+(C165-F163)/F163</f>
        <v>0.42808432855219419</v>
      </c>
      <c r="I164" s="117">
        <f>+I163-C165</f>
        <v>58.828024260874372</v>
      </c>
    </row>
    <row r="165" spans="1:10" x14ac:dyDescent="0.3">
      <c r="A165" s="146">
        <f t="shared" si="13"/>
        <v>109</v>
      </c>
      <c r="B165" s="112" t="s">
        <v>67</v>
      </c>
      <c r="C165" s="119">
        <f>'COS Sch 1.2 pg 6of6'!H32</f>
        <v>415836.16397573921</v>
      </c>
      <c r="D165" s="113" t="s">
        <v>118</v>
      </c>
      <c r="I165" s="138">
        <f>+(I163/F163)-1</f>
        <v>0.42828635855055563</v>
      </c>
    </row>
    <row r="166" spans="1:10" x14ac:dyDescent="0.3">
      <c r="A166" s="146"/>
      <c r="C166" s="158">
        <v>1</v>
      </c>
    </row>
    <row r="167" spans="1:10" x14ac:dyDescent="0.3">
      <c r="A167" s="146"/>
      <c r="F167" s="127"/>
    </row>
    <row r="168" spans="1:10" x14ac:dyDescent="0.3">
      <c r="A168" s="146"/>
    </row>
    <row r="169" spans="1:10" x14ac:dyDescent="0.3">
      <c r="A169" s="146"/>
    </row>
    <row r="170" spans="1:10" x14ac:dyDescent="0.3">
      <c r="A170" s="146"/>
      <c r="F170" s="131"/>
    </row>
    <row r="171" spans="1:10" x14ac:dyDescent="0.3">
      <c r="A171" s="146"/>
    </row>
    <row r="172" spans="1:10" x14ac:dyDescent="0.3">
      <c r="A172" s="146"/>
    </row>
    <row r="173" spans="1:10" x14ac:dyDescent="0.3">
      <c r="A173" s="146"/>
    </row>
    <row r="174" spans="1:10" x14ac:dyDescent="0.3">
      <c r="A174" s="146"/>
    </row>
    <row r="175" spans="1:10" x14ac:dyDescent="0.3">
      <c r="A175" s="146"/>
    </row>
    <row r="176" spans="1:10" x14ac:dyDescent="0.3">
      <c r="A176" s="146"/>
    </row>
    <row r="177" spans="1:1" x14ac:dyDescent="0.3">
      <c r="A177" s="146"/>
    </row>
    <row r="178" spans="1:1" x14ac:dyDescent="0.3">
      <c r="A178" s="146"/>
    </row>
    <row r="179" spans="1:1" x14ac:dyDescent="0.3">
      <c r="A179" s="146"/>
    </row>
    <row r="180" spans="1:1" x14ac:dyDescent="0.3">
      <c r="A180" s="146"/>
    </row>
    <row r="181" spans="1:1" x14ac:dyDescent="0.3">
      <c r="A181" s="146"/>
    </row>
    <row r="182" spans="1:1" x14ac:dyDescent="0.3">
      <c r="A182" s="146"/>
    </row>
    <row r="183" spans="1:1" x14ac:dyDescent="0.3">
      <c r="A183" s="146"/>
    </row>
    <row r="184" spans="1:1" x14ac:dyDescent="0.3">
      <c r="A184" s="146"/>
    </row>
    <row r="185" spans="1:1" x14ac:dyDescent="0.3">
      <c r="A185" s="146"/>
    </row>
    <row r="186" spans="1:1" x14ac:dyDescent="0.3">
      <c r="A186" s="146"/>
    </row>
    <row r="187" spans="1:1" x14ac:dyDescent="0.3">
      <c r="A187" s="146"/>
    </row>
    <row r="188" spans="1:1" x14ac:dyDescent="0.3">
      <c r="A188" s="146"/>
    </row>
    <row r="189" spans="1:1" x14ac:dyDescent="0.3">
      <c r="A189" s="146"/>
    </row>
    <row r="190" spans="1:1" x14ac:dyDescent="0.3">
      <c r="A190" s="146"/>
    </row>
    <row r="191" spans="1:1" x14ac:dyDescent="0.3">
      <c r="A191" s="146"/>
    </row>
    <row r="192" spans="1:1" x14ac:dyDescent="0.3">
      <c r="A192" s="146"/>
    </row>
    <row r="193" spans="1:1" x14ac:dyDescent="0.3">
      <c r="A193" s="146"/>
    </row>
    <row r="194" spans="1:1" x14ac:dyDescent="0.3">
      <c r="A194" s="146"/>
    </row>
    <row r="195" spans="1:1" x14ac:dyDescent="0.3">
      <c r="A195" s="146"/>
    </row>
    <row r="196" spans="1:1" x14ac:dyDescent="0.3">
      <c r="A196" s="146"/>
    </row>
    <row r="197" spans="1:1" x14ac:dyDescent="0.3">
      <c r="A197" s="146"/>
    </row>
    <row r="198" spans="1:1" x14ac:dyDescent="0.3">
      <c r="A198" s="146"/>
    </row>
    <row r="199" spans="1:1" x14ac:dyDescent="0.3">
      <c r="A199" s="146"/>
    </row>
    <row r="200" spans="1:1" x14ac:dyDescent="0.3">
      <c r="A200" s="146"/>
    </row>
    <row r="201" spans="1:1" x14ac:dyDescent="0.3">
      <c r="A201" s="146"/>
    </row>
    <row r="202" spans="1:1" x14ac:dyDescent="0.3">
      <c r="A202" s="146"/>
    </row>
    <row r="203" spans="1:1" x14ac:dyDescent="0.3">
      <c r="A203" s="146"/>
    </row>
    <row r="204" spans="1:1" x14ac:dyDescent="0.3">
      <c r="A204" s="146"/>
    </row>
    <row r="205" spans="1:1" x14ac:dyDescent="0.3">
      <c r="A205" s="146"/>
    </row>
    <row r="206" spans="1:1" x14ac:dyDescent="0.3">
      <c r="A206" s="146"/>
    </row>
    <row r="207" spans="1:1" x14ac:dyDescent="0.3">
      <c r="A207" s="146"/>
    </row>
    <row r="208" spans="1:1" x14ac:dyDescent="0.3">
      <c r="A208" s="146"/>
    </row>
    <row r="209" spans="1:1" x14ac:dyDescent="0.3">
      <c r="A209" s="146"/>
    </row>
    <row r="210" spans="1:1" x14ac:dyDescent="0.3">
      <c r="A210" s="146"/>
    </row>
    <row r="211" spans="1:1" x14ac:dyDescent="0.3">
      <c r="A211" s="146"/>
    </row>
    <row r="212" spans="1:1" x14ac:dyDescent="0.3">
      <c r="A212" s="146"/>
    </row>
    <row r="213" spans="1:1" x14ac:dyDescent="0.3">
      <c r="A213" s="146"/>
    </row>
    <row r="214" spans="1:1" x14ac:dyDescent="0.3">
      <c r="A214" s="146"/>
    </row>
    <row r="215" spans="1:1" x14ac:dyDescent="0.3">
      <c r="A215" s="146"/>
    </row>
    <row r="216" spans="1:1" x14ac:dyDescent="0.3">
      <c r="A216" s="146"/>
    </row>
    <row r="217" spans="1:1" x14ac:dyDescent="0.3">
      <c r="A217" s="146"/>
    </row>
    <row r="218" spans="1:1" x14ac:dyDescent="0.3">
      <c r="A218" s="146"/>
    </row>
    <row r="219" spans="1:1" x14ac:dyDescent="0.3">
      <c r="A219" s="146"/>
    </row>
    <row r="220" spans="1:1" x14ac:dyDescent="0.3">
      <c r="A220" s="146"/>
    </row>
    <row r="221" spans="1:1" x14ac:dyDescent="0.3">
      <c r="A221" s="146"/>
    </row>
    <row r="222" spans="1:1" x14ac:dyDescent="0.3">
      <c r="A222" s="146"/>
    </row>
    <row r="223" spans="1:1" x14ac:dyDescent="0.3">
      <c r="A223" s="146"/>
    </row>
    <row r="224" spans="1:1" x14ac:dyDescent="0.3">
      <c r="A224" s="146"/>
    </row>
    <row r="225" spans="1:1" x14ac:dyDescent="0.3">
      <c r="A225" s="146"/>
    </row>
    <row r="226" spans="1:1" x14ac:dyDescent="0.3">
      <c r="A226" s="146"/>
    </row>
    <row r="227" spans="1:1" x14ac:dyDescent="0.3">
      <c r="A227" s="146"/>
    </row>
    <row r="228" spans="1:1" x14ac:dyDescent="0.3">
      <c r="A228" s="146"/>
    </row>
    <row r="229" spans="1:1" x14ac:dyDescent="0.3">
      <c r="A229" s="146"/>
    </row>
    <row r="230" spans="1:1" x14ac:dyDescent="0.3">
      <c r="A230" s="146"/>
    </row>
    <row r="231" spans="1:1" x14ac:dyDescent="0.3">
      <c r="A231" s="146"/>
    </row>
    <row r="232" spans="1:1" x14ac:dyDescent="0.3">
      <c r="A232" s="146"/>
    </row>
    <row r="233" spans="1:1" x14ac:dyDescent="0.3">
      <c r="A233" s="146"/>
    </row>
    <row r="234" spans="1:1" x14ac:dyDescent="0.3">
      <c r="A234" s="146"/>
    </row>
    <row r="235" spans="1:1" x14ac:dyDescent="0.3">
      <c r="A235" s="146"/>
    </row>
    <row r="236" spans="1:1" x14ac:dyDescent="0.3">
      <c r="A236" s="146"/>
    </row>
    <row r="237" spans="1:1" x14ac:dyDescent="0.3">
      <c r="A237" s="146"/>
    </row>
    <row r="238" spans="1:1" x14ac:dyDescent="0.3">
      <c r="A238" s="146"/>
    </row>
    <row r="239" spans="1:1" x14ac:dyDescent="0.3">
      <c r="A239" s="146"/>
    </row>
    <row r="240" spans="1:1" x14ac:dyDescent="0.3">
      <c r="A240" s="146"/>
    </row>
    <row r="241" spans="1:1" x14ac:dyDescent="0.3">
      <c r="A241" s="146"/>
    </row>
    <row r="242" spans="1:1" x14ac:dyDescent="0.3">
      <c r="A242" s="146"/>
    </row>
    <row r="243" spans="1:1" x14ac:dyDescent="0.3">
      <c r="A243" s="146"/>
    </row>
    <row r="244" spans="1:1" x14ac:dyDescent="0.3">
      <c r="A244" s="146"/>
    </row>
    <row r="245" spans="1:1" x14ac:dyDescent="0.3">
      <c r="A245" s="146"/>
    </row>
    <row r="246" spans="1:1" x14ac:dyDescent="0.3">
      <c r="A246" s="146"/>
    </row>
    <row r="247" spans="1:1" x14ac:dyDescent="0.3">
      <c r="A247" s="146"/>
    </row>
    <row r="248" spans="1:1" x14ac:dyDescent="0.3">
      <c r="A248" s="146"/>
    </row>
    <row r="249" spans="1:1" x14ac:dyDescent="0.3">
      <c r="A249" s="146"/>
    </row>
    <row r="250" spans="1:1" x14ac:dyDescent="0.3">
      <c r="A250" s="146"/>
    </row>
    <row r="251" spans="1:1" x14ac:dyDescent="0.3">
      <c r="A251" s="146"/>
    </row>
    <row r="252" spans="1:1" x14ac:dyDescent="0.3">
      <c r="A252" s="146"/>
    </row>
    <row r="253" spans="1:1" x14ac:dyDescent="0.3">
      <c r="A253" s="146"/>
    </row>
    <row r="254" spans="1:1" x14ac:dyDescent="0.3">
      <c r="A254" s="146"/>
    </row>
    <row r="255" spans="1:1" x14ac:dyDescent="0.3">
      <c r="A255" s="146"/>
    </row>
    <row r="256" spans="1:1" x14ac:dyDescent="0.3">
      <c r="A256" s="146"/>
    </row>
    <row r="257" spans="1:1" x14ac:dyDescent="0.3">
      <c r="A257" s="146"/>
    </row>
    <row r="258" spans="1:1" x14ac:dyDescent="0.3">
      <c r="A258" s="146"/>
    </row>
    <row r="259" spans="1:1" x14ac:dyDescent="0.3">
      <c r="A259" s="146"/>
    </row>
    <row r="260" spans="1:1" x14ac:dyDescent="0.3">
      <c r="A260" s="146"/>
    </row>
    <row r="261" spans="1:1" x14ac:dyDescent="0.3">
      <c r="A261" s="146"/>
    </row>
    <row r="262" spans="1:1" x14ac:dyDescent="0.3">
      <c r="A262" s="146"/>
    </row>
    <row r="263" spans="1:1" x14ac:dyDescent="0.3">
      <c r="A263" s="146"/>
    </row>
    <row r="264" spans="1:1" x14ac:dyDescent="0.3">
      <c r="A264" s="146"/>
    </row>
    <row r="265" spans="1:1" x14ac:dyDescent="0.3">
      <c r="A265" s="146"/>
    </row>
    <row r="266" spans="1:1" x14ac:dyDescent="0.3">
      <c r="A266" s="146"/>
    </row>
    <row r="267" spans="1:1" x14ac:dyDescent="0.3">
      <c r="A267" s="146"/>
    </row>
    <row r="268" spans="1:1" x14ac:dyDescent="0.3">
      <c r="A268" s="146"/>
    </row>
    <row r="269" spans="1:1" x14ac:dyDescent="0.3">
      <c r="A269" s="146"/>
    </row>
    <row r="270" spans="1:1" x14ac:dyDescent="0.3">
      <c r="A270" s="146"/>
    </row>
    <row r="271" spans="1:1" x14ac:dyDescent="0.3">
      <c r="A271" s="146"/>
    </row>
    <row r="272" spans="1:1" x14ac:dyDescent="0.3">
      <c r="A272" s="146"/>
    </row>
    <row r="273" spans="1:1" x14ac:dyDescent="0.3">
      <c r="A273" s="146"/>
    </row>
    <row r="274" spans="1:1" x14ac:dyDescent="0.3">
      <c r="A274" s="146"/>
    </row>
    <row r="275" spans="1:1" x14ac:dyDescent="0.3">
      <c r="A275" s="146"/>
    </row>
    <row r="276" spans="1:1" x14ac:dyDescent="0.3">
      <c r="A276" s="146"/>
    </row>
    <row r="277" spans="1:1" x14ac:dyDescent="0.3">
      <c r="A277" s="146"/>
    </row>
    <row r="278" spans="1:1" x14ac:dyDescent="0.3">
      <c r="A278" s="146"/>
    </row>
    <row r="279" spans="1:1" x14ac:dyDescent="0.3">
      <c r="A279" s="146"/>
    </row>
    <row r="280" spans="1:1" x14ac:dyDescent="0.3">
      <c r="A280" s="146"/>
    </row>
    <row r="281" spans="1:1" x14ac:dyDescent="0.3">
      <c r="A281" s="146"/>
    </row>
    <row r="282" spans="1:1" x14ac:dyDescent="0.3">
      <c r="A282" s="146"/>
    </row>
    <row r="283" spans="1:1" x14ac:dyDescent="0.3">
      <c r="A283" s="146"/>
    </row>
    <row r="284" spans="1:1" x14ac:dyDescent="0.3">
      <c r="A284" s="146"/>
    </row>
    <row r="285" spans="1:1" x14ac:dyDescent="0.3">
      <c r="A285" s="146"/>
    </row>
    <row r="286" spans="1:1" x14ac:dyDescent="0.3">
      <c r="A286" s="146"/>
    </row>
    <row r="287" spans="1:1" x14ac:dyDescent="0.3">
      <c r="A287" s="146"/>
    </row>
    <row r="288" spans="1:1" x14ac:dyDescent="0.3">
      <c r="A288" s="146"/>
    </row>
    <row r="289" spans="1:1" x14ac:dyDescent="0.3">
      <c r="A289" s="146"/>
    </row>
    <row r="290" spans="1:1" x14ac:dyDescent="0.3">
      <c r="A290" s="146"/>
    </row>
    <row r="291" spans="1:1" x14ac:dyDescent="0.3">
      <c r="A291" s="146"/>
    </row>
    <row r="292" spans="1:1" x14ac:dyDescent="0.3">
      <c r="A292" s="146"/>
    </row>
    <row r="293" spans="1:1" x14ac:dyDescent="0.3">
      <c r="A293" s="146"/>
    </row>
    <row r="294" spans="1:1" x14ac:dyDescent="0.3">
      <c r="A294" s="146"/>
    </row>
    <row r="295" spans="1:1" x14ac:dyDescent="0.3">
      <c r="A295" s="146"/>
    </row>
    <row r="296" spans="1:1" x14ac:dyDescent="0.3">
      <c r="A296" s="146"/>
    </row>
    <row r="297" spans="1:1" x14ac:dyDescent="0.3">
      <c r="A297" s="146"/>
    </row>
    <row r="298" spans="1:1" x14ac:dyDescent="0.3">
      <c r="A298" s="146"/>
    </row>
    <row r="299" spans="1:1" x14ac:dyDescent="0.3">
      <c r="A299" s="146"/>
    </row>
    <row r="300" spans="1:1" x14ac:dyDescent="0.3">
      <c r="A300" s="146"/>
    </row>
    <row r="301" spans="1:1" x14ac:dyDescent="0.3">
      <c r="A301" s="146"/>
    </row>
    <row r="302" spans="1:1" x14ac:dyDescent="0.3">
      <c r="A302" s="146"/>
    </row>
    <row r="303" spans="1:1" x14ac:dyDescent="0.3">
      <c r="A303" s="146"/>
    </row>
    <row r="304" spans="1:1" x14ac:dyDescent="0.3">
      <c r="A304" s="146"/>
    </row>
    <row r="305" spans="1:1" x14ac:dyDescent="0.3">
      <c r="A305" s="146"/>
    </row>
    <row r="306" spans="1:1" x14ac:dyDescent="0.3">
      <c r="A306" s="146"/>
    </row>
    <row r="307" spans="1:1" x14ac:dyDescent="0.3">
      <c r="A307" s="146"/>
    </row>
    <row r="308" spans="1:1" x14ac:dyDescent="0.3">
      <c r="A308" s="146"/>
    </row>
    <row r="309" spans="1:1" x14ac:dyDescent="0.3">
      <c r="A309" s="146"/>
    </row>
    <row r="310" spans="1:1" x14ac:dyDescent="0.3">
      <c r="A310" s="146"/>
    </row>
    <row r="311" spans="1:1" x14ac:dyDescent="0.3">
      <c r="A311" s="146"/>
    </row>
    <row r="312" spans="1:1" x14ac:dyDescent="0.3">
      <c r="A312" s="146"/>
    </row>
    <row r="313" spans="1:1" x14ac:dyDescent="0.3">
      <c r="A313" s="146"/>
    </row>
    <row r="314" spans="1:1" x14ac:dyDescent="0.3">
      <c r="A314" s="146"/>
    </row>
    <row r="315" spans="1:1" x14ac:dyDescent="0.3">
      <c r="A315" s="146"/>
    </row>
    <row r="316" spans="1:1" x14ac:dyDescent="0.3">
      <c r="A316" s="146"/>
    </row>
    <row r="317" spans="1:1" x14ac:dyDescent="0.3">
      <c r="A317" s="146"/>
    </row>
    <row r="318" spans="1:1" x14ac:dyDescent="0.3">
      <c r="A318" s="146"/>
    </row>
    <row r="319" spans="1:1" x14ac:dyDescent="0.3">
      <c r="A319" s="146"/>
    </row>
    <row r="320" spans="1:1" x14ac:dyDescent="0.3">
      <c r="A320" s="146"/>
    </row>
    <row r="321" spans="1:1" x14ac:dyDescent="0.3">
      <c r="A321" s="146"/>
    </row>
    <row r="322" spans="1:1" x14ac:dyDescent="0.3">
      <c r="A322" s="146"/>
    </row>
    <row r="323" spans="1:1" x14ac:dyDescent="0.3">
      <c r="A323" s="146"/>
    </row>
    <row r="324" spans="1:1" x14ac:dyDescent="0.3">
      <c r="A324" s="146"/>
    </row>
    <row r="325" spans="1:1" x14ac:dyDescent="0.3">
      <c r="A325" s="146"/>
    </row>
    <row r="326" spans="1:1" x14ac:dyDescent="0.3">
      <c r="A326" s="146"/>
    </row>
    <row r="327" spans="1:1" x14ac:dyDescent="0.3">
      <c r="A327" s="146"/>
    </row>
    <row r="328" spans="1:1" x14ac:dyDescent="0.3">
      <c r="A328" s="146"/>
    </row>
    <row r="329" spans="1:1" x14ac:dyDescent="0.3">
      <c r="A329" s="146"/>
    </row>
    <row r="330" spans="1:1" x14ac:dyDescent="0.3">
      <c r="A330" s="146"/>
    </row>
    <row r="331" spans="1:1" x14ac:dyDescent="0.3">
      <c r="A331" s="146"/>
    </row>
    <row r="332" spans="1:1" x14ac:dyDescent="0.3">
      <c r="A332" s="146"/>
    </row>
    <row r="333" spans="1:1" x14ac:dyDescent="0.3">
      <c r="A333" s="146"/>
    </row>
    <row r="334" spans="1:1" x14ac:dyDescent="0.3">
      <c r="A334" s="146"/>
    </row>
    <row r="335" spans="1:1" x14ac:dyDescent="0.3">
      <c r="A335" s="146"/>
    </row>
    <row r="336" spans="1:1" x14ac:dyDescent="0.3">
      <c r="A336" s="146"/>
    </row>
    <row r="337" spans="1:1" x14ac:dyDescent="0.3">
      <c r="A337" s="146"/>
    </row>
    <row r="338" spans="1:1" x14ac:dyDescent="0.3">
      <c r="A338" s="146"/>
    </row>
    <row r="339" spans="1:1" x14ac:dyDescent="0.3">
      <c r="A339" s="146"/>
    </row>
    <row r="340" spans="1:1" x14ac:dyDescent="0.3">
      <c r="A340" s="146"/>
    </row>
    <row r="341" spans="1:1" x14ac:dyDescent="0.3">
      <c r="A341" s="146"/>
    </row>
    <row r="342" spans="1:1" x14ac:dyDescent="0.3">
      <c r="A342" s="146"/>
    </row>
    <row r="343" spans="1:1" x14ac:dyDescent="0.3">
      <c r="A343" s="146"/>
    </row>
    <row r="344" spans="1:1" x14ac:dyDescent="0.3">
      <c r="A344" s="146"/>
    </row>
    <row r="345" spans="1:1" x14ac:dyDescent="0.3">
      <c r="A345" s="146"/>
    </row>
    <row r="346" spans="1:1" x14ac:dyDescent="0.3">
      <c r="A346" s="146"/>
    </row>
    <row r="347" spans="1:1" x14ac:dyDescent="0.3">
      <c r="A347" s="146"/>
    </row>
    <row r="348" spans="1:1" x14ac:dyDescent="0.3">
      <c r="A348" s="146"/>
    </row>
    <row r="349" spans="1:1" x14ac:dyDescent="0.3">
      <c r="A349" s="146"/>
    </row>
    <row r="350" spans="1:1" x14ac:dyDescent="0.3">
      <c r="A350" s="146"/>
    </row>
    <row r="351" spans="1:1" x14ac:dyDescent="0.3">
      <c r="A351" s="146"/>
    </row>
    <row r="352" spans="1:1" x14ac:dyDescent="0.3">
      <c r="A352" s="146"/>
    </row>
    <row r="353" spans="1:1" x14ac:dyDescent="0.3">
      <c r="A353" s="146"/>
    </row>
    <row r="354" spans="1:1" x14ac:dyDescent="0.3">
      <c r="A354" s="146"/>
    </row>
    <row r="355" spans="1:1" x14ac:dyDescent="0.3">
      <c r="A355" s="146"/>
    </row>
    <row r="356" spans="1:1" x14ac:dyDescent="0.3">
      <c r="A356" s="146"/>
    </row>
    <row r="357" spans="1:1" x14ac:dyDescent="0.3">
      <c r="A357" s="146"/>
    </row>
    <row r="358" spans="1:1" x14ac:dyDescent="0.3">
      <c r="A358" s="146"/>
    </row>
    <row r="359" spans="1:1" x14ac:dyDescent="0.3">
      <c r="A359" s="146"/>
    </row>
    <row r="360" spans="1:1" x14ac:dyDescent="0.3">
      <c r="A360" s="146"/>
    </row>
    <row r="361" spans="1:1" x14ac:dyDescent="0.3">
      <c r="A361" s="146"/>
    </row>
    <row r="362" spans="1:1" x14ac:dyDescent="0.3">
      <c r="A362" s="146"/>
    </row>
    <row r="363" spans="1:1" x14ac:dyDescent="0.3">
      <c r="A363" s="146"/>
    </row>
    <row r="364" spans="1:1" x14ac:dyDescent="0.3">
      <c r="A364" s="146"/>
    </row>
    <row r="365" spans="1:1" x14ac:dyDescent="0.3">
      <c r="A365" s="146"/>
    </row>
    <row r="366" spans="1:1" x14ac:dyDescent="0.3">
      <c r="A366" s="146"/>
    </row>
    <row r="367" spans="1:1" x14ac:dyDescent="0.3">
      <c r="A367" s="146"/>
    </row>
    <row r="368" spans="1:1" x14ac:dyDescent="0.3">
      <c r="A368" s="146"/>
    </row>
    <row r="369" spans="1:1" x14ac:dyDescent="0.3">
      <c r="A369" s="146"/>
    </row>
    <row r="370" spans="1:1" x14ac:dyDescent="0.3">
      <c r="A370" s="146"/>
    </row>
  </sheetData>
  <pageMargins left="0.7" right="0.7" top="0.75" bottom="0.75" header="0.3" footer="0.3"/>
  <pageSetup scale="73" orientation="landscape" r:id="rId1"/>
  <headerFooter>
    <oddHeader>&amp;R&amp;"Calibri,Bold"PUB-NLH-117, Attachment 1
Page &amp;P of &amp;N, NLH 2013 GRA</oddHeader>
  </headerFooter>
  <rowBreaks count="4" manualBreakCount="4">
    <brk id="40" max="16383" man="1"/>
    <brk id="73" max="16383" man="1"/>
    <brk id="110" max="16383" man="1"/>
    <brk id="1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0"/>
  <sheetViews>
    <sheetView topLeftCell="A85" zoomScaleNormal="100" workbookViewId="0">
      <selection activeCell="A99" sqref="A99"/>
    </sheetView>
  </sheetViews>
  <sheetFormatPr defaultRowHeight="14.4" x14ac:dyDescent="0.3"/>
  <cols>
    <col min="2" max="2" width="37" customWidth="1"/>
    <col min="3" max="3" width="29.88671875" style="2" customWidth="1"/>
    <col min="4" max="4" width="12.33203125" style="2" customWidth="1"/>
    <col min="5" max="5" width="16.33203125" bestFit="1" customWidth="1"/>
    <col min="6" max="7" width="11.5546875" bestFit="1" customWidth="1"/>
    <col min="8" max="8" width="12.88671875" bestFit="1" customWidth="1"/>
    <col min="9" max="9" width="13.44140625" style="52" bestFit="1" customWidth="1"/>
  </cols>
  <sheetData>
    <row r="1" spans="1:8" x14ac:dyDescent="0.3">
      <c r="A1" s="46" t="s">
        <v>4</v>
      </c>
      <c r="B1" s="46"/>
      <c r="C1" s="13"/>
      <c r="D1" s="13"/>
      <c r="E1" s="46"/>
      <c r="F1" s="46"/>
      <c r="G1" s="46"/>
      <c r="H1" s="46"/>
    </row>
    <row r="2" spans="1:8" x14ac:dyDescent="0.3">
      <c r="A2" s="46" t="s">
        <v>0</v>
      </c>
      <c r="B2" s="46"/>
      <c r="C2" s="13"/>
      <c r="D2" s="13"/>
      <c r="E2" s="46"/>
      <c r="F2" s="46"/>
      <c r="G2" s="46"/>
      <c r="H2" s="46"/>
    </row>
    <row r="3" spans="1:8" x14ac:dyDescent="0.3">
      <c r="A3" s="46" t="s">
        <v>73</v>
      </c>
      <c r="B3" s="46"/>
      <c r="C3" s="13"/>
      <c r="D3" s="13"/>
      <c r="E3" s="46"/>
      <c r="F3" s="46"/>
      <c r="G3" s="46"/>
      <c r="H3" s="46"/>
    </row>
    <row r="4" spans="1:8" x14ac:dyDescent="0.3">
      <c r="A4" t="str">
        <f ca="1">+CELL("filename")</f>
        <v>Y:\D Drive\_ FINAL RFIs\DRAFTS\Oct 15-13 B3\[PUB-NLH-117 Excel Attachment 1.xlsx]Rate Design (DEM)</v>
      </c>
    </row>
    <row r="5" spans="1:8" x14ac:dyDescent="0.3">
      <c r="A5" s="15" t="s">
        <v>2</v>
      </c>
      <c r="D5" s="12" t="s">
        <v>1</v>
      </c>
    </row>
    <row r="6" spans="1:8" x14ac:dyDescent="0.3">
      <c r="A6" s="7">
        <v>1</v>
      </c>
      <c r="B6" t="s">
        <v>3</v>
      </c>
      <c r="C6" s="63">
        <v>23003935</v>
      </c>
      <c r="D6" s="2" t="s">
        <v>71</v>
      </c>
    </row>
    <row r="7" spans="1:8" x14ac:dyDescent="0.3">
      <c r="A7" s="7">
        <f>+A6+1</f>
        <v>2</v>
      </c>
      <c r="B7" t="s">
        <v>5</v>
      </c>
      <c r="C7" s="48">
        <f>+H37</f>
        <v>13574964.203077644</v>
      </c>
      <c r="D7" s="48" t="str">
        <f>+"Line "&amp;A37</f>
        <v>Line 23</v>
      </c>
    </row>
    <row r="8" spans="1:8" x14ac:dyDescent="0.3">
      <c r="A8" s="7">
        <f t="shared" ref="A8:A14" si="0">+A7+1</f>
        <v>3</v>
      </c>
      <c r="B8" t="s">
        <v>6</v>
      </c>
      <c r="C8" s="48">
        <f>+H52</f>
        <v>443159.78840371629</v>
      </c>
      <c r="D8" s="48" t="str">
        <f>+"Line "&amp;A52</f>
        <v>Line 32</v>
      </c>
    </row>
    <row r="9" spans="1:8" x14ac:dyDescent="0.3">
      <c r="A9" s="7">
        <f t="shared" si="0"/>
        <v>4</v>
      </c>
      <c r="B9" t="s">
        <v>7</v>
      </c>
      <c r="C9" s="48">
        <f>+H70</f>
        <v>2481031.9537460003</v>
      </c>
      <c r="D9" s="48" t="str">
        <f>+"Line "&amp;A70</f>
        <v>Line 44</v>
      </c>
    </row>
    <row r="10" spans="1:8" x14ac:dyDescent="0.3">
      <c r="A10" s="7">
        <f t="shared" si="0"/>
        <v>5</v>
      </c>
      <c r="B10" t="s">
        <v>8</v>
      </c>
      <c r="C10" s="48">
        <f>+H88</f>
        <v>3672342.0423285253</v>
      </c>
      <c r="D10" s="48" t="str">
        <f>+"Line "&amp;A88</f>
        <v>Line 56</v>
      </c>
    </row>
    <row r="11" spans="1:8" x14ac:dyDescent="0.3">
      <c r="A11" s="7">
        <f t="shared" si="0"/>
        <v>6</v>
      </c>
      <c r="B11" t="s">
        <v>9</v>
      </c>
      <c r="C11" s="48">
        <f>+H107</f>
        <v>2433655.0934176603</v>
      </c>
      <c r="D11" s="48" t="str">
        <f>+"Line "&amp;A107</f>
        <v>Line 69</v>
      </c>
    </row>
    <row r="12" spans="1:8" x14ac:dyDescent="0.3">
      <c r="A12" s="7">
        <f t="shared" si="0"/>
        <v>7</v>
      </c>
      <c r="B12" t="s">
        <v>10</v>
      </c>
      <c r="C12" s="48">
        <f>+I163</f>
        <v>398579.35999999993</v>
      </c>
      <c r="D12" s="48" t="str">
        <f>+"Line "&amp;A163</f>
        <v>Line 107</v>
      </c>
      <c r="F12" s="56"/>
    </row>
    <row r="13" spans="1:8" x14ac:dyDescent="0.3">
      <c r="A13" s="7">
        <f t="shared" si="0"/>
        <v>8</v>
      </c>
      <c r="B13" t="s">
        <v>11</v>
      </c>
      <c r="C13" s="57">
        <f>SUM(C7:C12)</f>
        <v>23003732.440973543</v>
      </c>
      <c r="E13" s="80">
        <f>C21+C45+C59+C77+C96+C165</f>
        <v>23003935</v>
      </c>
      <c r="F13" s="81">
        <v>1.1035622739083899</v>
      </c>
    </row>
    <row r="14" spans="1:8" x14ac:dyDescent="0.3">
      <c r="A14" s="7">
        <f t="shared" si="0"/>
        <v>9</v>
      </c>
      <c r="B14" t="s">
        <v>12</v>
      </c>
      <c r="C14" s="48">
        <f>+C6-C13</f>
        <v>202.55902645736933</v>
      </c>
    </row>
    <row r="15" spans="1:8" x14ac:dyDescent="0.3">
      <c r="A15" s="7"/>
    </row>
    <row r="16" spans="1:8" x14ac:dyDescent="0.3">
      <c r="A16" s="7"/>
      <c r="B16" s="8" t="s">
        <v>5</v>
      </c>
    </row>
    <row r="17" spans="1:9" x14ac:dyDescent="0.3">
      <c r="A17" s="7">
        <f>+A14+A16</f>
        <v>9</v>
      </c>
      <c r="B17" t="s">
        <v>13</v>
      </c>
      <c r="C17" s="63">
        <v>299256</v>
      </c>
      <c r="D17" s="48" t="s">
        <v>17</v>
      </c>
    </row>
    <row r="18" spans="1:9" x14ac:dyDescent="0.3">
      <c r="A18" s="7">
        <f>+A17+1</f>
        <v>10</v>
      </c>
      <c r="B18" t="s">
        <v>14</v>
      </c>
      <c r="C18" s="63">
        <v>13990062</v>
      </c>
      <c r="D18" s="48" t="s">
        <v>18</v>
      </c>
    </row>
    <row r="19" spans="1:9" x14ac:dyDescent="0.3">
      <c r="A19" s="7">
        <f>+A18+1</f>
        <v>11</v>
      </c>
      <c r="B19" t="s">
        <v>11</v>
      </c>
      <c r="C19" s="57">
        <f>+C18+C17</f>
        <v>14289318</v>
      </c>
    </row>
    <row r="20" spans="1:9" x14ac:dyDescent="0.3">
      <c r="A20" s="7">
        <f>+A19+1</f>
        <v>12</v>
      </c>
      <c r="B20" t="s">
        <v>15</v>
      </c>
      <c r="C20" s="6">
        <v>0.95</v>
      </c>
    </row>
    <row r="21" spans="1:9" ht="16.5" customHeight="1" x14ac:dyDescent="0.3">
      <c r="A21" s="7">
        <f>+A20+1</f>
        <v>13</v>
      </c>
      <c r="B21" t="s">
        <v>16</v>
      </c>
      <c r="C21" s="18">
        <f>C19*C20</f>
        <v>13574852.1</v>
      </c>
      <c r="D21" s="48" t="str">
        <f>+"Line "&amp;A19&amp;" x Line "&amp;A20</f>
        <v>Line 11 x Line 12</v>
      </c>
    </row>
    <row r="22" spans="1:9" ht="16.5" customHeight="1" x14ac:dyDescent="0.3">
      <c r="A22" s="7"/>
    </row>
    <row r="23" spans="1:9" x14ac:dyDescent="0.3">
      <c r="A23" s="7"/>
      <c r="C23" s="12"/>
      <c r="D23" s="13" t="s">
        <v>22</v>
      </c>
      <c r="E23" s="13"/>
      <c r="F23" s="2"/>
      <c r="G23" s="13" t="s">
        <v>29</v>
      </c>
      <c r="H23" s="13"/>
    </row>
    <row r="24" spans="1:9" ht="12" customHeight="1" x14ac:dyDescent="0.3">
      <c r="A24" s="7"/>
      <c r="C24" s="14" t="s">
        <v>19</v>
      </c>
      <c r="D24" s="14" t="s">
        <v>20</v>
      </c>
      <c r="E24" s="15" t="s">
        <v>21</v>
      </c>
      <c r="F24" s="7"/>
      <c r="G24" s="14" t="s">
        <v>20</v>
      </c>
      <c r="H24" s="15" t="s">
        <v>21</v>
      </c>
    </row>
    <row r="25" spans="1:9" x14ac:dyDescent="0.3">
      <c r="A25" s="7"/>
      <c r="B25" t="s">
        <v>26</v>
      </c>
    </row>
    <row r="26" spans="1:9" x14ac:dyDescent="0.3">
      <c r="A26" s="7">
        <f>+A21+1</f>
        <v>14</v>
      </c>
      <c r="B26" s="9" t="s">
        <v>24</v>
      </c>
      <c r="C26" s="63">
        <f>414*12</f>
        <v>4968</v>
      </c>
      <c r="D26" s="1">
        <v>7.15</v>
      </c>
      <c r="E26" s="3">
        <f>+$C26*D26</f>
        <v>35521.200000000004</v>
      </c>
      <c r="F26" s="4"/>
      <c r="G26" s="59">
        <v>9.1999999999999993</v>
      </c>
      <c r="H26" s="3">
        <f>+$C26*G26</f>
        <v>45705.599999999999</v>
      </c>
      <c r="I26" s="83">
        <f>G26/D26</f>
        <v>1.2867132867132864</v>
      </c>
    </row>
    <row r="27" spans="1:9" x14ac:dyDescent="0.3">
      <c r="A27" s="7">
        <f>+A26+1</f>
        <v>15</v>
      </c>
      <c r="B27" t="s">
        <v>23</v>
      </c>
      <c r="C27" s="63">
        <f>8776*12</f>
        <v>105312</v>
      </c>
      <c r="D27" s="1">
        <v>7.15</v>
      </c>
      <c r="E27" s="3">
        <f>+$C27*D27</f>
        <v>752980.8</v>
      </c>
      <c r="G27">
        <f>+G26</f>
        <v>9.1999999999999993</v>
      </c>
      <c r="H27" s="3">
        <f>+$C27*G27</f>
        <v>968870.39999999991</v>
      </c>
      <c r="I27" s="83">
        <f>G27/D27</f>
        <v>1.2867132867132864</v>
      </c>
    </row>
    <row r="28" spans="1:9" x14ac:dyDescent="0.3">
      <c r="A28" s="7">
        <f>+A27+1</f>
        <v>16</v>
      </c>
      <c r="C28" s="5">
        <f>SUM(C26:C27)</f>
        <v>110280</v>
      </c>
      <c r="E28" s="5">
        <f>SUM(E26:E27)</f>
        <v>788502</v>
      </c>
      <c r="H28" s="5">
        <f>SUM(H26:H27)</f>
        <v>1014575.9999999999</v>
      </c>
    </row>
    <row r="29" spans="1:9" x14ac:dyDescent="0.3">
      <c r="A29" s="7"/>
      <c r="B29" t="s">
        <v>27</v>
      </c>
    </row>
    <row r="30" spans="1:9" x14ac:dyDescent="0.3">
      <c r="A30" s="7">
        <f>+A28+1</f>
        <v>17</v>
      </c>
      <c r="B30" s="9" t="s">
        <v>24</v>
      </c>
      <c r="C30" s="63">
        <v>2258000</v>
      </c>
      <c r="D30" s="10">
        <v>3.28</v>
      </c>
      <c r="E30" s="11">
        <f>+$C30*D30/100</f>
        <v>74062.399999999994</v>
      </c>
      <c r="F30" s="4"/>
      <c r="G30" s="60">
        <f>ROUND(D30*1.288,3)</f>
        <v>4.2249999999999996</v>
      </c>
      <c r="H30" s="11">
        <f>+$C30*G30/100</f>
        <v>95400.5</v>
      </c>
      <c r="I30" s="83">
        <f>G30/D30</f>
        <v>1.288109756097561</v>
      </c>
    </row>
    <row r="31" spans="1:9" x14ac:dyDescent="0.3">
      <c r="A31" s="7">
        <f>+A30+1</f>
        <v>18</v>
      </c>
      <c r="B31" t="s">
        <v>23</v>
      </c>
      <c r="C31" s="63">
        <v>297866000</v>
      </c>
      <c r="D31" s="10">
        <v>3.28</v>
      </c>
      <c r="E31" s="11">
        <f>+$C31*D31/100</f>
        <v>9770004.8000000007</v>
      </c>
      <c r="G31" s="58">
        <f>+G30</f>
        <v>4.2249999999999996</v>
      </c>
      <c r="H31" s="11">
        <f>+$C31*G31/100</f>
        <v>12584838.5</v>
      </c>
      <c r="I31" s="83">
        <f>G31/D31</f>
        <v>1.288109756097561</v>
      </c>
    </row>
    <row r="32" spans="1:9" x14ac:dyDescent="0.3">
      <c r="A32" s="7">
        <f>+A31+1</f>
        <v>19</v>
      </c>
      <c r="C32" s="5">
        <f>SUM(C30:C31)</f>
        <v>300124000</v>
      </c>
      <c r="E32" s="5">
        <f>SUM(E30:E31)</f>
        <v>9844067.2000000011</v>
      </c>
      <c r="H32" s="5">
        <f>SUM(H30:H31)</f>
        <v>12680239</v>
      </c>
    </row>
    <row r="33" spans="1:8" x14ac:dyDescent="0.3">
      <c r="A33" s="7"/>
      <c r="B33" t="s">
        <v>25</v>
      </c>
    </row>
    <row r="34" spans="1:8" x14ac:dyDescent="0.3">
      <c r="A34" s="7">
        <f>+A32+1</f>
        <v>20</v>
      </c>
      <c r="B34" s="9" t="s">
        <v>24</v>
      </c>
      <c r="E34" s="48">
        <f>-5079+1978</f>
        <v>-3101</v>
      </c>
      <c r="H34" s="2">
        <f>+(E34/(E26+E30)*(H26+H30))</f>
        <v>-3993.0246505864015</v>
      </c>
    </row>
    <row r="35" spans="1:8" x14ac:dyDescent="0.3">
      <c r="A35" s="7">
        <f>+A34+1</f>
        <v>21</v>
      </c>
      <c r="B35" t="s">
        <v>23</v>
      </c>
      <c r="E35" s="48">
        <f>-169038+79087</f>
        <v>-89951</v>
      </c>
      <c r="H35" s="2">
        <f>+(E35/(E27+E31)*(H27+H31))</f>
        <v>-115857.77227176857</v>
      </c>
    </row>
    <row r="36" spans="1:8" x14ac:dyDescent="0.3">
      <c r="A36" s="7">
        <f>+A35+1</f>
        <v>22</v>
      </c>
      <c r="E36" s="5">
        <f>SUM(E34:E35)</f>
        <v>-93052</v>
      </c>
      <c r="H36" s="5">
        <f>SUM(H34:H35)</f>
        <v>-119850.79692235497</v>
      </c>
    </row>
    <row r="37" spans="1:8" ht="15" thickBot="1" x14ac:dyDescent="0.35">
      <c r="A37" s="7">
        <f>+A36+1</f>
        <v>23</v>
      </c>
      <c r="B37" t="s">
        <v>28</v>
      </c>
      <c r="E37" s="16">
        <f>+E28+E32+E36</f>
        <v>10539517.200000001</v>
      </c>
      <c r="F37" s="51" t="s">
        <v>72</v>
      </c>
      <c r="H37" s="16">
        <f>+H28+H32+H36</f>
        <v>13574964.203077644</v>
      </c>
    </row>
    <row r="38" spans="1:8" ht="15" thickTop="1" x14ac:dyDescent="0.3">
      <c r="A38" s="7">
        <f>+A37+1</f>
        <v>24</v>
      </c>
      <c r="B38" t="s">
        <v>31</v>
      </c>
      <c r="H38" s="3">
        <f>+H37-C21</f>
        <v>112.10307764448225</v>
      </c>
    </row>
    <row r="39" spans="1:8" x14ac:dyDescent="0.3">
      <c r="A39" s="7">
        <f>+A38+1</f>
        <v>25</v>
      </c>
      <c r="B39" t="s">
        <v>30</v>
      </c>
      <c r="E39" s="82">
        <f>+(C21/E37)-1</f>
        <v>0.28799563038807863</v>
      </c>
      <c r="H39" s="6">
        <f>+(H37/E37)-1</f>
        <v>0.28800626684091779</v>
      </c>
    </row>
    <row r="42" spans="1:8" x14ac:dyDescent="0.3">
      <c r="A42" s="7"/>
      <c r="B42" s="8" t="s">
        <v>34</v>
      </c>
    </row>
    <row r="43" spans="1:8" x14ac:dyDescent="0.3">
      <c r="A43" s="7">
        <f>+A39+1</f>
        <v>26</v>
      </c>
      <c r="B43" t="s">
        <v>32</v>
      </c>
      <c r="C43" s="64">
        <v>422054</v>
      </c>
      <c r="D43" s="48" t="s">
        <v>33</v>
      </c>
    </row>
    <row r="44" spans="1:8" x14ac:dyDescent="0.3">
      <c r="A44" s="7">
        <f>+A43+1</f>
        <v>27</v>
      </c>
      <c r="B44" t="s">
        <v>15</v>
      </c>
      <c r="C44" s="6">
        <v>1.05</v>
      </c>
    </row>
    <row r="45" spans="1:8" ht="16.5" customHeight="1" x14ac:dyDescent="0.3">
      <c r="A45" s="7">
        <f>+A44+1</f>
        <v>28</v>
      </c>
      <c r="B45" t="s">
        <v>16</v>
      </c>
      <c r="C45" s="2">
        <f>+C43*C44</f>
        <v>443156.7</v>
      </c>
    </row>
    <row r="46" spans="1:8" x14ac:dyDescent="0.3">
      <c r="A46" s="7"/>
      <c r="C46" s="12"/>
      <c r="D46" s="13" t="s">
        <v>22</v>
      </c>
      <c r="E46" s="13"/>
      <c r="F46" s="2"/>
      <c r="G46" s="13" t="s">
        <v>29</v>
      </c>
      <c r="H46" s="13"/>
    </row>
    <row r="47" spans="1:8" ht="12" customHeight="1" x14ac:dyDescent="0.3">
      <c r="A47" s="7"/>
      <c r="C47" s="14" t="s">
        <v>19</v>
      </c>
      <c r="D47" s="14" t="s">
        <v>20</v>
      </c>
      <c r="E47" s="15" t="s">
        <v>21</v>
      </c>
      <c r="F47" s="7"/>
      <c r="G47" s="14" t="s">
        <v>20</v>
      </c>
      <c r="H47" s="15" t="s">
        <v>21</v>
      </c>
    </row>
    <row r="48" spans="1:8" x14ac:dyDescent="0.3">
      <c r="A48" s="7"/>
    </row>
    <row r="49" spans="1:9" x14ac:dyDescent="0.3">
      <c r="A49" s="7">
        <f>+A45+1</f>
        <v>29</v>
      </c>
      <c r="B49" t="s">
        <v>26</v>
      </c>
      <c r="C49" s="63">
        <f>472*12</f>
        <v>5664</v>
      </c>
      <c r="D49" s="1">
        <v>10.45</v>
      </c>
      <c r="E49" s="3">
        <f>+$C49*D49</f>
        <v>59188.799999999996</v>
      </c>
      <c r="F49" s="4"/>
      <c r="G49" s="61">
        <v>13.4</v>
      </c>
      <c r="H49" s="3">
        <f>+$C49*G49</f>
        <v>75897.600000000006</v>
      </c>
      <c r="I49" s="83">
        <f>G49/D49</f>
        <v>1.2822966507177034</v>
      </c>
    </row>
    <row r="50" spans="1:9" x14ac:dyDescent="0.3">
      <c r="A50" s="7">
        <f>+A49+1</f>
        <v>30</v>
      </c>
      <c r="B50" t="s">
        <v>27</v>
      </c>
      <c r="C50" s="63">
        <v>5537410</v>
      </c>
      <c r="D50" s="10">
        <v>5.24</v>
      </c>
      <c r="E50" s="11">
        <f>+$C50*D50/100</f>
        <v>290160.28400000004</v>
      </c>
      <c r="F50" s="4"/>
      <c r="G50" s="65">
        <v>6.7210000000000001</v>
      </c>
      <c r="H50" s="11">
        <f>+$C50*G50/100</f>
        <v>372169.32610000001</v>
      </c>
      <c r="I50" s="83">
        <f>G50/D50</f>
        <v>1.2826335877862596</v>
      </c>
    </row>
    <row r="51" spans="1:9" x14ac:dyDescent="0.3">
      <c r="A51" s="7">
        <f>+A50+1</f>
        <v>31</v>
      </c>
      <c r="B51" t="s">
        <v>25</v>
      </c>
      <c r="E51" s="48">
        <f>-7437+3611</f>
        <v>-3826</v>
      </c>
      <c r="F51" s="17"/>
      <c r="H51" s="2">
        <f>+(E51/(E49+E50)*(H49+H50))</f>
        <v>-4907.1376962837548</v>
      </c>
    </row>
    <row r="52" spans="1:9" ht="15" thickBot="1" x14ac:dyDescent="0.35">
      <c r="A52" s="7">
        <f>+A51+1</f>
        <v>32</v>
      </c>
      <c r="B52" t="s">
        <v>28</v>
      </c>
      <c r="E52" s="16">
        <f>+E49+E50+E51</f>
        <v>345523.08400000003</v>
      </c>
      <c r="F52" s="52" t="s">
        <v>72</v>
      </c>
      <c r="H52" s="16">
        <f>+H49+H50+H51</f>
        <v>443159.78840371629</v>
      </c>
    </row>
    <row r="53" spans="1:9" ht="15" thickTop="1" x14ac:dyDescent="0.3">
      <c r="A53" s="7">
        <f>+A52+1</f>
        <v>33</v>
      </c>
      <c r="B53" t="s">
        <v>31</v>
      </c>
      <c r="H53" s="3">
        <f>+H52-C45</f>
        <v>3.0884037162759341</v>
      </c>
    </row>
    <row r="54" spans="1:9" x14ac:dyDescent="0.3">
      <c r="A54" s="7">
        <f>+A53+1</f>
        <v>34</v>
      </c>
      <c r="B54" t="s">
        <v>30</v>
      </c>
      <c r="E54" s="82">
        <f>+(C45/E52)-1</f>
        <v>0.28256756356110779</v>
      </c>
      <c r="H54" s="6">
        <f>+(H52/E52)-1</f>
        <v>0.28257650190375205</v>
      </c>
    </row>
    <row r="56" spans="1:9" x14ac:dyDescent="0.3">
      <c r="A56" s="7"/>
      <c r="B56" s="8" t="s">
        <v>35</v>
      </c>
    </row>
    <row r="57" spans="1:9" x14ac:dyDescent="0.3">
      <c r="A57" s="7">
        <f>+A53+1</f>
        <v>34</v>
      </c>
      <c r="B57" t="s">
        <v>32</v>
      </c>
      <c r="C57" s="64">
        <v>2248490</v>
      </c>
      <c r="D57" s="48" t="s">
        <v>68</v>
      </c>
    </row>
    <row r="58" spans="1:9" x14ac:dyDescent="0.3">
      <c r="A58" s="7">
        <f>+A57+1</f>
        <v>35</v>
      </c>
      <c r="B58" t="s">
        <v>15</v>
      </c>
      <c r="C58" s="6">
        <v>1.1035622739083899</v>
      </c>
    </row>
    <row r="59" spans="1:9" ht="16.5" customHeight="1" x14ac:dyDescent="0.3">
      <c r="A59" s="7">
        <f>+A58+1</f>
        <v>36</v>
      </c>
      <c r="B59" t="s">
        <v>16</v>
      </c>
      <c r="C59" s="2">
        <f>+C57*C58</f>
        <v>2481348.7372602755</v>
      </c>
    </row>
    <row r="61" spans="1:9" x14ac:dyDescent="0.3">
      <c r="C61" s="12"/>
      <c r="D61" s="13" t="s">
        <v>22</v>
      </c>
      <c r="E61" s="13"/>
      <c r="F61" s="2"/>
      <c r="G61" s="13" t="s">
        <v>29</v>
      </c>
      <c r="H61" s="13"/>
    </row>
    <row r="62" spans="1:9" x14ac:dyDescent="0.3">
      <c r="A62" s="7"/>
      <c r="B62" s="8"/>
      <c r="C62" s="14" t="s">
        <v>19</v>
      </c>
      <c r="D62" s="14" t="s">
        <v>20</v>
      </c>
      <c r="E62" s="15" t="s">
        <v>21</v>
      </c>
      <c r="F62" s="7"/>
      <c r="G62" s="14" t="s">
        <v>20</v>
      </c>
      <c r="H62" s="15" t="s">
        <v>21</v>
      </c>
    </row>
    <row r="63" spans="1:9" x14ac:dyDescent="0.3">
      <c r="A63">
        <f>+A59+1</f>
        <v>37</v>
      </c>
      <c r="B63" t="s">
        <v>36</v>
      </c>
      <c r="C63" s="49">
        <v>67498510</v>
      </c>
      <c r="D63" s="10">
        <v>2.4329999999999998</v>
      </c>
      <c r="E63" s="19">
        <f>+$C63*D63/100</f>
        <v>1642238.7482999999</v>
      </c>
      <c r="F63" s="20"/>
      <c r="G63" s="60">
        <v>2.89</v>
      </c>
      <c r="H63" s="19">
        <f>+$C63*G63/100</f>
        <v>1950706.939</v>
      </c>
      <c r="I63" s="83">
        <f>G63/D63</f>
        <v>1.1878339498561448</v>
      </c>
    </row>
    <row r="64" spans="1:9" x14ac:dyDescent="0.3">
      <c r="A64">
        <f>+A63+1</f>
        <v>38</v>
      </c>
      <c r="B64" t="s">
        <v>37</v>
      </c>
      <c r="C64" s="48">
        <v>207060</v>
      </c>
      <c r="D64" s="1">
        <v>2.2000000000000002</v>
      </c>
      <c r="E64" s="2">
        <f>+$C64*D64</f>
        <v>455532.00000000006</v>
      </c>
      <c r="G64" s="59">
        <v>2.6</v>
      </c>
      <c r="H64" s="2">
        <f>+$C64*G64</f>
        <v>538356</v>
      </c>
      <c r="I64" s="83">
        <f>G64/D64</f>
        <v>1.1818181818181817</v>
      </c>
    </row>
    <row r="65" spans="1:8" x14ac:dyDescent="0.3">
      <c r="A65">
        <f t="shared" ref="A65:A72" si="1">+A64+1</f>
        <v>39</v>
      </c>
      <c r="B65" t="s">
        <v>38</v>
      </c>
      <c r="C65" s="48">
        <v>90180</v>
      </c>
      <c r="D65" s="1">
        <v>6.8</v>
      </c>
      <c r="E65" s="19">
        <f>+$C65*D65/100</f>
        <v>6132.24</v>
      </c>
      <c r="G65" s="4">
        <f>+D65</f>
        <v>6.8</v>
      </c>
      <c r="H65" s="19">
        <f>+$C65*G65/100</f>
        <v>6132.24</v>
      </c>
    </row>
    <row r="66" spans="1:8" x14ac:dyDescent="0.3">
      <c r="A66">
        <f t="shared" si="1"/>
        <v>40</v>
      </c>
      <c r="B66" t="s">
        <v>42</v>
      </c>
      <c r="C66" s="48">
        <f>SUM('[2]Det Rev Production Curr Rates'!$E$232:$P$232)</f>
        <v>59</v>
      </c>
      <c r="D66" s="1">
        <v>20</v>
      </c>
      <c r="E66" s="2">
        <f>+$C66*D66</f>
        <v>1180</v>
      </c>
      <c r="G66" s="4">
        <f>+D66</f>
        <v>20</v>
      </c>
      <c r="H66" s="2">
        <f>+$C66*G66</f>
        <v>1180</v>
      </c>
    </row>
    <row r="67" spans="1:8" x14ac:dyDescent="0.3">
      <c r="A67">
        <f t="shared" si="1"/>
        <v>41</v>
      </c>
      <c r="B67" t="s">
        <v>39</v>
      </c>
      <c r="C67" s="48">
        <f>E67/D67</f>
        <v>5660.9523809523807</v>
      </c>
      <c r="D67" s="50">
        <v>1.05</v>
      </c>
      <c r="E67" s="49">
        <v>5944</v>
      </c>
      <c r="G67" s="4">
        <f>+D67</f>
        <v>1.05</v>
      </c>
      <c r="H67" s="2">
        <f>+$C67*G67</f>
        <v>5944</v>
      </c>
    </row>
    <row r="68" spans="1:8" x14ac:dyDescent="0.3">
      <c r="A68">
        <f t="shared" si="1"/>
        <v>42</v>
      </c>
      <c r="B68" t="s">
        <v>40</v>
      </c>
      <c r="C68" s="48">
        <f>E68/D68</f>
        <v>10116</v>
      </c>
      <c r="D68" s="18">
        <v>-0.25</v>
      </c>
      <c r="E68" s="2">
        <f>-2529</f>
        <v>-2529</v>
      </c>
      <c r="G68" s="4">
        <f>+D68</f>
        <v>-0.25</v>
      </c>
      <c r="H68" s="2">
        <f>+$C68*G68</f>
        <v>-2529</v>
      </c>
    </row>
    <row r="69" spans="1:8" x14ac:dyDescent="0.3">
      <c r="A69">
        <f t="shared" si="1"/>
        <v>43</v>
      </c>
      <c r="B69" t="s">
        <v>25</v>
      </c>
      <c r="E69" s="48">
        <f>-31001+15179</f>
        <v>-15822</v>
      </c>
      <c r="H69" s="1">
        <f>+(E69/(SUM(E63:E68)))*SUM(H63:H68)</f>
        <v>-18758.225254000354</v>
      </c>
    </row>
    <row r="70" spans="1:8" ht="15" thickBot="1" x14ac:dyDescent="0.35">
      <c r="A70">
        <f t="shared" si="1"/>
        <v>44</v>
      </c>
      <c r="B70" t="s">
        <v>41</v>
      </c>
      <c r="E70" s="21">
        <f>SUM(E63:E69)</f>
        <v>2092675.9883000003</v>
      </c>
      <c r="F70" s="52" t="s">
        <v>72</v>
      </c>
      <c r="H70" s="21">
        <f>SUM(H63:H69)</f>
        <v>2481031.9537460003</v>
      </c>
    </row>
    <row r="71" spans="1:8" ht="15" thickTop="1" x14ac:dyDescent="0.3">
      <c r="A71">
        <f t="shared" si="1"/>
        <v>45</v>
      </c>
      <c r="B71" t="s">
        <v>31</v>
      </c>
      <c r="H71" s="3">
        <f>+H70-C59</f>
        <v>-316.78351427521557</v>
      </c>
    </row>
    <row r="72" spans="1:8" x14ac:dyDescent="0.3">
      <c r="A72">
        <f t="shared" si="1"/>
        <v>46</v>
      </c>
      <c r="B72" t="s">
        <v>30</v>
      </c>
      <c r="E72" s="86">
        <f>+(C59/E70)-1</f>
        <v>0.18573001799290312</v>
      </c>
      <c r="H72" s="6">
        <f>+(H70/E70)-1</f>
        <v>0.18557864075340369</v>
      </c>
    </row>
    <row r="73" spans="1:8" x14ac:dyDescent="0.3">
      <c r="E73" t="s">
        <v>75</v>
      </c>
    </row>
    <row r="74" spans="1:8" x14ac:dyDescent="0.3">
      <c r="A74" s="7"/>
      <c r="B74" s="8" t="s">
        <v>44</v>
      </c>
    </row>
    <row r="75" spans="1:8" x14ac:dyDescent="0.3">
      <c r="A75" s="7">
        <f>+A71+1</f>
        <v>46</v>
      </c>
      <c r="B75" t="s">
        <v>32</v>
      </c>
      <c r="C75" s="64">
        <v>3327513</v>
      </c>
      <c r="D75" s="48" t="s">
        <v>69</v>
      </c>
    </row>
    <row r="76" spans="1:8" x14ac:dyDescent="0.3">
      <c r="A76" s="7">
        <f>+A75+1</f>
        <v>47</v>
      </c>
      <c r="B76" t="s">
        <v>15</v>
      </c>
      <c r="C76" s="6">
        <v>1.1035622739083899</v>
      </c>
    </row>
    <row r="77" spans="1:8" ht="16.5" customHeight="1" x14ac:dyDescent="0.3">
      <c r="A77" s="7">
        <f>+A76+1</f>
        <v>48</v>
      </c>
      <c r="B77" t="s">
        <v>16</v>
      </c>
      <c r="C77" s="2">
        <f>+C75*C76</f>
        <v>3672117.812739728</v>
      </c>
      <c r="F77" s="7"/>
    </row>
    <row r="79" spans="1:8" x14ac:dyDescent="0.3">
      <c r="C79" s="12"/>
      <c r="D79" s="13" t="s">
        <v>22</v>
      </c>
      <c r="E79" s="13"/>
      <c r="F79" s="2"/>
      <c r="G79" s="13" t="s">
        <v>29</v>
      </c>
      <c r="H79" s="13"/>
    </row>
    <row r="80" spans="1:8" x14ac:dyDescent="0.3">
      <c r="A80" s="45"/>
      <c r="B80" s="8"/>
      <c r="C80" s="14" t="s">
        <v>19</v>
      </c>
      <c r="D80" s="14" t="s">
        <v>20</v>
      </c>
      <c r="E80" s="15" t="s">
        <v>21</v>
      </c>
      <c r="G80" s="14" t="s">
        <v>20</v>
      </c>
      <c r="H80" s="15" t="s">
        <v>21</v>
      </c>
    </row>
    <row r="81" spans="1:8" x14ac:dyDescent="0.3">
      <c r="A81" s="45">
        <f>+A77+1</f>
        <v>49</v>
      </c>
      <c r="B81" t="s">
        <v>36</v>
      </c>
      <c r="C81" s="48">
        <v>109912220</v>
      </c>
      <c r="D81" s="10">
        <v>2.1030000000000002</v>
      </c>
      <c r="E81" s="19">
        <f>+$C81*D81/100</f>
        <v>2311453.9866000004</v>
      </c>
      <c r="F81" s="20"/>
      <c r="G81" s="60">
        <v>2.617</v>
      </c>
      <c r="H81" s="19">
        <f>+$C81*G81/100</f>
        <v>2876402.7974</v>
      </c>
    </row>
    <row r="82" spans="1:8" x14ac:dyDescent="0.3">
      <c r="A82" s="45">
        <f>+A81+1</f>
        <v>50</v>
      </c>
      <c r="B82" t="s">
        <v>37</v>
      </c>
      <c r="C82" s="48">
        <v>327670</v>
      </c>
      <c r="D82" s="1">
        <v>2</v>
      </c>
      <c r="E82" s="2">
        <f>+$C82*D82</f>
        <v>655340</v>
      </c>
      <c r="G82" s="59">
        <v>2.5</v>
      </c>
      <c r="H82" s="2">
        <f>+$C82*G82</f>
        <v>819175</v>
      </c>
    </row>
    <row r="83" spans="1:8" x14ac:dyDescent="0.3">
      <c r="A83" s="45">
        <f t="shared" ref="A83:A90" si="2">+A82+1</f>
        <v>51</v>
      </c>
      <c r="B83" t="s">
        <v>38</v>
      </c>
      <c r="C83" s="48">
        <v>62200</v>
      </c>
      <c r="D83" s="1">
        <v>6.8</v>
      </c>
      <c r="E83" s="19">
        <f>+$C83*D83/100</f>
        <v>4229.6000000000004</v>
      </c>
      <c r="G83" s="4">
        <f>+D83</f>
        <v>6.8</v>
      </c>
      <c r="H83" s="19">
        <f>+$C83*G83/100</f>
        <v>4229.6000000000004</v>
      </c>
    </row>
    <row r="84" spans="1:8" x14ac:dyDescent="0.3">
      <c r="A84" s="45">
        <f t="shared" si="2"/>
        <v>52</v>
      </c>
      <c r="B84" t="s">
        <v>42</v>
      </c>
      <c r="C84" s="47"/>
      <c r="D84" s="1"/>
      <c r="E84" s="2">
        <f>+$C84*D84</f>
        <v>0</v>
      </c>
      <c r="G84" s="4">
        <f>+D84</f>
        <v>0</v>
      </c>
      <c r="H84" s="2">
        <f>+$C84*G84</f>
        <v>0</v>
      </c>
    </row>
    <row r="85" spans="1:8" x14ac:dyDescent="0.3">
      <c r="A85" s="45">
        <f t="shared" si="2"/>
        <v>53</v>
      </c>
      <c r="B85" t="s">
        <v>43</v>
      </c>
      <c r="C85" s="48">
        <f>E85/D85</f>
        <v>11482.857142857143</v>
      </c>
      <c r="D85" s="1">
        <v>1.05</v>
      </c>
      <c r="E85" s="2">
        <v>12057</v>
      </c>
      <c r="G85" s="4">
        <f>+D85</f>
        <v>1.05</v>
      </c>
      <c r="H85" s="2">
        <f>+$C85*G85</f>
        <v>12057</v>
      </c>
    </row>
    <row r="86" spans="1:8" x14ac:dyDescent="0.3">
      <c r="A86" s="45">
        <f t="shared" si="2"/>
        <v>54</v>
      </c>
      <c r="B86" t="s">
        <v>40</v>
      </c>
      <c r="C86" s="48">
        <f>E86/D86</f>
        <v>50800</v>
      </c>
      <c r="D86" s="18">
        <v>-0.25</v>
      </c>
      <c r="E86" s="2">
        <v>-12700</v>
      </c>
      <c r="G86" s="4">
        <f>+D86</f>
        <v>-0.25</v>
      </c>
      <c r="H86" s="2">
        <f>+$C86*G86</f>
        <v>-12700</v>
      </c>
    </row>
    <row r="87" spans="1:8" x14ac:dyDescent="0.3">
      <c r="A87" s="45">
        <f t="shared" si="2"/>
        <v>55</v>
      </c>
      <c r="B87" t="s">
        <v>25</v>
      </c>
      <c r="E87" s="48">
        <f>-44822+23284</f>
        <v>-21538</v>
      </c>
      <c r="H87" s="1">
        <f>+(E87/(SUM(E81:E86)))*SUM(H81:H86)</f>
        <v>-26822.355071474933</v>
      </c>
    </row>
    <row r="88" spans="1:8" ht="15" thickBot="1" x14ac:dyDescent="0.35">
      <c r="A88" s="45">
        <f t="shared" si="2"/>
        <v>56</v>
      </c>
      <c r="B88" t="s">
        <v>41</v>
      </c>
      <c r="E88" s="21">
        <f>SUM(E81:E87)</f>
        <v>2948842.5866000005</v>
      </c>
      <c r="F88" s="52" t="s">
        <v>72</v>
      </c>
      <c r="H88" s="21">
        <f>SUM(H81:H87)</f>
        <v>3672342.0423285253</v>
      </c>
    </row>
    <row r="89" spans="1:8" ht="15" thickTop="1" x14ac:dyDescent="0.3">
      <c r="A89" s="45">
        <f t="shared" si="2"/>
        <v>57</v>
      </c>
      <c r="B89" t="s">
        <v>31</v>
      </c>
      <c r="H89" s="3">
        <f>+H88-C77</f>
        <v>224.22958879731596</v>
      </c>
    </row>
    <row r="90" spans="1:8" x14ac:dyDescent="0.3">
      <c r="A90" s="45">
        <f t="shared" si="2"/>
        <v>58</v>
      </c>
      <c r="B90" t="s">
        <v>30</v>
      </c>
      <c r="E90" s="22">
        <f>+(C77/E88)-1</f>
        <v>0.2452742745327956</v>
      </c>
      <c r="H90" s="6">
        <f>+(H88/E88)-1</f>
        <v>0.24535031439664468</v>
      </c>
    </row>
    <row r="91" spans="1:8" x14ac:dyDescent="0.3">
      <c r="A91" s="45"/>
    </row>
    <row r="92" spans="1:8" x14ac:dyDescent="0.3">
      <c r="A92" s="45"/>
    </row>
    <row r="93" spans="1:8" x14ac:dyDescent="0.3">
      <c r="A93" s="45"/>
      <c r="B93" s="8" t="s">
        <v>45</v>
      </c>
    </row>
    <row r="94" spans="1:8" x14ac:dyDescent="0.3">
      <c r="A94" s="45">
        <f>+A90+1</f>
        <v>59</v>
      </c>
      <c r="B94" t="s">
        <v>32</v>
      </c>
      <c r="C94" s="64">
        <v>2318013</v>
      </c>
      <c r="D94" s="48" t="s">
        <v>70</v>
      </c>
    </row>
    <row r="95" spans="1:8" x14ac:dyDescent="0.3">
      <c r="A95" s="45">
        <f>+A94+1</f>
        <v>60</v>
      </c>
      <c r="B95" t="s">
        <v>15</v>
      </c>
      <c r="C95" s="6">
        <v>1.05</v>
      </c>
      <c r="H95" s="4"/>
    </row>
    <row r="96" spans="1:8" ht="16.5" customHeight="1" x14ac:dyDescent="0.3">
      <c r="A96" s="45">
        <f>+A95+1</f>
        <v>61</v>
      </c>
      <c r="B96" t="s">
        <v>16</v>
      </c>
      <c r="C96" s="2">
        <f>+C94*C95</f>
        <v>2433913.65</v>
      </c>
    </row>
    <row r="97" spans="1:9" x14ac:dyDescent="0.3">
      <c r="A97" s="45"/>
    </row>
    <row r="98" spans="1:9" x14ac:dyDescent="0.3">
      <c r="A98" s="45"/>
      <c r="C98" s="12"/>
      <c r="D98" s="13" t="s">
        <v>22</v>
      </c>
      <c r="E98" s="13"/>
      <c r="F98" s="2"/>
      <c r="G98" s="87" t="s">
        <v>29</v>
      </c>
      <c r="H98" s="87"/>
    </row>
    <row r="99" spans="1:9" x14ac:dyDescent="0.3">
      <c r="A99" s="45"/>
      <c r="B99" s="8"/>
      <c r="C99" s="14" t="s">
        <v>19</v>
      </c>
      <c r="D99" s="14" t="s">
        <v>20</v>
      </c>
      <c r="E99" s="15" t="s">
        <v>21</v>
      </c>
      <c r="F99" s="7"/>
      <c r="G99" s="88" t="s">
        <v>20</v>
      </c>
      <c r="H99" s="89" t="s">
        <v>21</v>
      </c>
    </row>
    <row r="100" spans="1:9" x14ac:dyDescent="0.3">
      <c r="A100" s="45">
        <f>+A96+1</f>
        <v>62</v>
      </c>
      <c r="B100" t="s">
        <v>36</v>
      </c>
      <c r="C100" s="49">
        <f>79753000-21911000+45450000</f>
        <v>103292000</v>
      </c>
      <c r="D100" s="10">
        <v>1.7330000000000001</v>
      </c>
      <c r="E100" s="19">
        <f>+$C100*D100/100</f>
        <v>1790050.36</v>
      </c>
      <c r="F100" s="20"/>
      <c r="G100" s="90">
        <v>2.024</v>
      </c>
      <c r="H100" s="91">
        <f>+$C100*G100/100</f>
        <v>2090630.08</v>
      </c>
    </row>
    <row r="101" spans="1:9" x14ac:dyDescent="0.3">
      <c r="A101" s="45">
        <f>+A100+1</f>
        <v>63</v>
      </c>
      <c r="B101" t="s">
        <v>37</v>
      </c>
      <c r="C101" s="48">
        <f>159808</f>
        <v>159808</v>
      </c>
      <c r="D101" s="1">
        <v>1.75</v>
      </c>
      <c r="E101" s="2">
        <f>+$C101*D101</f>
        <v>279664</v>
      </c>
      <c r="F101" s="4"/>
      <c r="G101" s="92">
        <v>2.4</v>
      </c>
      <c r="H101" s="93">
        <f>+$C101*G101</f>
        <v>383539.20000000001</v>
      </c>
    </row>
    <row r="102" spans="1:9" x14ac:dyDescent="0.3">
      <c r="A102" s="45">
        <f t="shared" ref="A102:A109" si="3">+A101+1</f>
        <v>64</v>
      </c>
      <c r="B102" t="s">
        <v>38</v>
      </c>
      <c r="C102" s="84"/>
      <c r="D102" s="1">
        <v>6.8</v>
      </c>
      <c r="E102" s="19">
        <f>+$C102*D102/100</f>
        <v>0</v>
      </c>
      <c r="G102" s="94">
        <f>+D102</f>
        <v>6.8</v>
      </c>
      <c r="H102" s="91">
        <f>+$C102*G102/100</f>
        <v>0</v>
      </c>
    </row>
    <row r="103" spans="1:9" s="77" customFormat="1" x14ac:dyDescent="0.3">
      <c r="A103" s="76">
        <f t="shared" si="3"/>
        <v>65</v>
      </c>
      <c r="B103" s="77" t="s">
        <v>42</v>
      </c>
      <c r="C103" s="85"/>
      <c r="D103" s="78"/>
      <c r="E103" s="79">
        <f>+$C103*D103</f>
        <v>0</v>
      </c>
      <c r="G103" s="94">
        <f>+D103</f>
        <v>0</v>
      </c>
      <c r="H103" s="93">
        <f>+$C103*G103</f>
        <v>0</v>
      </c>
      <c r="I103" s="55"/>
    </row>
    <row r="104" spans="1:9" x14ac:dyDescent="0.3">
      <c r="A104" s="45">
        <f t="shared" si="3"/>
        <v>66</v>
      </c>
      <c r="B104" t="s">
        <v>43</v>
      </c>
      <c r="C104" s="47"/>
      <c r="D104" s="1">
        <v>1.05</v>
      </c>
      <c r="E104" s="2">
        <f>+$C104*D104</f>
        <v>0</v>
      </c>
      <c r="G104" s="94">
        <f>+D104</f>
        <v>1.05</v>
      </c>
      <c r="H104" s="93">
        <f>+$C104*G104</f>
        <v>0</v>
      </c>
    </row>
    <row r="105" spans="1:9" x14ac:dyDescent="0.3">
      <c r="A105" s="45">
        <f t="shared" si="3"/>
        <v>67</v>
      </c>
      <c r="B105" t="s">
        <v>40</v>
      </c>
      <c r="C105" s="48">
        <f>E105/D105</f>
        <v>128312</v>
      </c>
      <c r="D105" s="18">
        <v>-0.25</v>
      </c>
      <c r="E105" s="2">
        <v>-32078</v>
      </c>
      <c r="G105" s="94">
        <f>+D105</f>
        <v>-0.25</v>
      </c>
      <c r="H105" s="93">
        <f>+$C105*G105</f>
        <v>-32078</v>
      </c>
    </row>
    <row r="106" spans="1:9" x14ac:dyDescent="0.3">
      <c r="A106" s="45">
        <f t="shared" si="3"/>
        <v>68</v>
      </c>
      <c r="B106" t="s">
        <v>25</v>
      </c>
      <c r="E106" s="48">
        <f>-17082+10043</f>
        <v>-7039</v>
      </c>
      <c r="G106" s="95"/>
      <c r="H106" s="96">
        <f>+(E106/(SUM(E100:E105)))*SUM(H100:H105)</f>
        <v>-8436.1865823399421</v>
      </c>
    </row>
    <row r="107" spans="1:9" ht="15" thickBot="1" x14ac:dyDescent="0.35">
      <c r="A107" s="45">
        <f t="shared" si="3"/>
        <v>69</v>
      </c>
      <c r="B107" t="s">
        <v>41</v>
      </c>
      <c r="E107" s="21">
        <f>SUM(E100:E106)</f>
        <v>2030597.36</v>
      </c>
      <c r="F107" s="55" t="s">
        <v>72</v>
      </c>
      <c r="G107" s="95"/>
      <c r="H107" s="97">
        <f>SUM(H100:H106)</f>
        <v>2433655.0934176603</v>
      </c>
    </row>
    <row r="108" spans="1:9" ht="15" thickTop="1" x14ac:dyDescent="0.3">
      <c r="A108" s="45">
        <f t="shared" si="3"/>
        <v>70</v>
      </c>
      <c r="B108" t="s">
        <v>31</v>
      </c>
      <c r="G108" s="95"/>
      <c r="H108" s="98">
        <f>+H107-C96</f>
        <v>-258.55658233957365</v>
      </c>
    </row>
    <row r="109" spans="1:9" x14ac:dyDescent="0.3">
      <c r="A109" s="45">
        <f t="shared" si="3"/>
        <v>71</v>
      </c>
      <c r="B109" t="s">
        <v>30</v>
      </c>
      <c r="E109" s="94">
        <f>+(C96/E107)-1</f>
        <v>0.19861952839335895</v>
      </c>
      <c r="G109" s="95"/>
      <c r="H109" s="99">
        <f>+(H107/E107)-1</f>
        <v>0.19849219808778851</v>
      </c>
    </row>
    <row r="110" spans="1:9" x14ac:dyDescent="0.3">
      <c r="A110" s="45"/>
    </row>
    <row r="111" spans="1:9" x14ac:dyDescent="0.3">
      <c r="A111" s="45"/>
      <c r="B111" s="23" t="s">
        <v>10</v>
      </c>
      <c r="D111" s="2" t="s">
        <v>49</v>
      </c>
      <c r="E111" t="s">
        <v>50</v>
      </c>
      <c r="F111" t="s">
        <v>28</v>
      </c>
    </row>
    <row r="112" spans="1:9" x14ac:dyDescent="0.3">
      <c r="A112" s="45"/>
      <c r="B112" s="24" t="s">
        <v>74</v>
      </c>
      <c r="C112" s="24"/>
      <c r="D112" s="25"/>
      <c r="E112" s="25"/>
      <c r="F112" s="25" t="s">
        <v>56</v>
      </c>
      <c r="G112" s="25"/>
      <c r="H112" s="25"/>
      <c r="I112" s="66"/>
    </row>
    <row r="113" spans="1:9" x14ac:dyDescent="0.3">
      <c r="A113" s="45"/>
      <c r="C113"/>
      <c r="D113" t="s">
        <v>57</v>
      </c>
      <c r="E113" t="s">
        <v>58</v>
      </c>
      <c r="F113" t="s">
        <v>59</v>
      </c>
      <c r="G113" t="s">
        <v>60</v>
      </c>
      <c r="H113" t="s">
        <v>61</v>
      </c>
      <c r="I113" s="52" t="s">
        <v>62</v>
      </c>
    </row>
    <row r="114" spans="1:9" x14ac:dyDescent="0.3">
      <c r="A114" s="45">
        <f>+A109+1</f>
        <v>72</v>
      </c>
      <c r="B114" s="35" t="s">
        <v>46</v>
      </c>
      <c r="C114" s="35"/>
      <c r="D114" s="32">
        <v>904</v>
      </c>
      <c r="E114" s="33">
        <v>10</v>
      </c>
      <c r="F114" s="29">
        <f>D114*E114</f>
        <v>9040</v>
      </c>
      <c r="G114" s="29">
        <v>45</v>
      </c>
      <c r="H114" s="29">
        <f>D114*G114</f>
        <v>40680</v>
      </c>
      <c r="I114" s="67"/>
    </row>
    <row r="115" spans="1:9" x14ac:dyDescent="0.3">
      <c r="A115" s="45">
        <f t="shared" ref="A115:A121" si="4">+A114+1</f>
        <v>73</v>
      </c>
      <c r="B115" s="35" t="s">
        <v>51</v>
      </c>
      <c r="C115" s="35"/>
      <c r="D115" s="32">
        <v>0</v>
      </c>
      <c r="E115" s="33">
        <v>0</v>
      </c>
      <c r="F115" s="29">
        <f t="shared" ref="F115:F120" si="5">D115*E115</f>
        <v>0</v>
      </c>
      <c r="G115" s="29">
        <v>67</v>
      </c>
      <c r="H115" s="29">
        <f t="shared" ref="H115:H120" si="6">D115*G115</f>
        <v>0</v>
      </c>
      <c r="I115" s="67"/>
    </row>
    <row r="116" spans="1:9" x14ac:dyDescent="0.3">
      <c r="A116" s="45">
        <f t="shared" si="4"/>
        <v>74</v>
      </c>
      <c r="B116" s="35" t="s">
        <v>52</v>
      </c>
      <c r="C116" s="35"/>
      <c r="D116" s="32">
        <v>0</v>
      </c>
      <c r="E116" s="33">
        <v>0</v>
      </c>
      <c r="F116" s="29">
        <f t="shared" si="5"/>
        <v>0</v>
      </c>
      <c r="G116" s="29">
        <v>99</v>
      </c>
      <c r="H116" s="29">
        <f t="shared" si="6"/>
        <v>0</v>
      </c>
      <c r="I116" s="67"/>
    </row>
    <row r="117" spans="1:9" x14ac:dyDescent="0.3">
      <c r="A117" s="45">
        <f t="shared" si="4"/>
        <v>75</v>
      </c>
      <c r="B117" s="35" t="s">
        <v>53</v>
      </c>
      <c r="C117" s="35"/>
      <c r="D117" s="32">
        <v>12</v>
      </c>
      <c r="E117" s="33">
        <v>23</v>
      </c>
      <c r="F117" s="29">
        <f t="shared" si="5"/>
        <v>276</v>
      </c>
      <c r="G117" s="29">
        <v>166</v>
      </c>
      <c r="H117" s="29">
        <f t="shared" si="6"/>
        <v>1992</v>
      </c>
      <c r="I117" s="67"/>
    </row>
    <row r="118" spans="1:9" x14ac:dyDescent="0.3">
      <c r="A118" s="45">
        <f t="shared" si="4"/>
        <v>76</v>
      </c>
      <c r="B118" s="35" t="s">
        <v>47</v>
      </c>
      <c r="C118" s="35"/>
      <c r="D118" s="32">
        <v>339</v>
      </c>
      <c r="E118" s="33">
        <v>13.5</v>
      </c>
      <c r="F118" s="29">
        <f t="shared" si="5"/>
        <v>4576.5</v>
      </c>
      <c r="G118" s="29">
        <v>99</v>
      </c>
      <c r="H118" s="29">
        <f t="shared" si="6"/>
        <v>33561</v>
      </c>
      <c r="I118" s="67"/>
    </row>
    <row r="119" spans="1:9" x14ac:dyDescent="0.3">
      <c r="A119" s="45">
        <f t="shared" si="4"/>
        <v>77</v>
      </c>
      <c r="B119" s="35" t="s">
        <v>54</v>
      </c>
      <c r="C119" s="35"/>
      <c r="D119" s="32">
        <v>0</v>
      </c>
      <c r="E119" s="33">
        <v>0</v>
      </c>
      <c r="F119" s="29">
        <f t="shared" si="5"/>
        <v>0</v>
      </c>
      <c r="G119" s="29">
        <v>166</v>
      </c>
      <c r="H119" s="29">
        <f t="shared" si="6"/>
        <v>0</v>
      </c>
      <c r="I119" s="67"/>
    </row>
    <row r="120" spans="1:9" x14ac:dyDescent="0.3">
      <c r="A120" s="45">
        <f t="shared" si="4"/>
        <v>78</v>
      </c>
      <c r="B120" s="36" t="s">
        <v>48</v>
      </c>
      <c r="C120" s="36"/>
      <c r="D120" s="32">
        <v>350</v>
      </c>
      <c r="E120" s="33">
        <v>3.4</v>
      </c>
      <c r="F120" s="30">
        <f t="shared" si="5"/>
        <v>1190</v>
      </c>
      <c r="G120" s="30">
        <v>0</v>
      </c>
      <c r="H120" s="30">
        <f t="shared" si="6"/>
        <v>0</v>
      </c>
      <c r="I120" s="68"/>
    </row>
    <row r="121" spans="1:9" x14ac:dyDescent="0.3">
      <c r="A121" s="45">
        <f t="shared" si="4"/>
        <v>79</v>
      </c>
      <c r="B121" s="35"/>
      <c r="C121" s="35"/>
      <c r="D121" s="31">
        <f>SUM(D114:D120)</f>
        <v>1605</v>
      </c>
      <c r="F121" s="28">
        <f>SUM(F114:F120)</f>
        <v>15082.5</v>
      </c>
      <c r="G121" s="29"/>
      <c r="H121" s="28">
        <f>SUM(H114:H120)</f>
        <v>76233</v>
      </c>
      <c r="I121" s="69">
        <f>H121*12/1000</f>
        <v>914.79600000000005</v>
      </c>
    </row>
    <row r="122" spans="1:9" x14ac:dyDescent="0.3">
      <c r="A122" s="45"/>
      <c r="B122" s="35"/>
      <c r="C122" s="35"/>
      <c r="D122" s="26"/>
      <c r="F122" s="29"/>
      <c r="G122" s="29"/>
      <c r="H122" s="29"/>
      <c r="I122" s="67"/>
    </row>
    <row r="123" spans="1:9" x14ac:dyDescent="0.3">
      <c r="A123" s="45"/>
      <c r="B123" s="35"/>
      <c r="C123" s="35"/>
      <c r="D123" s="31"/>
      <c r="F123" s="29"/>
      <c r="G123" s="29"/>
      <c r="H123" s="29"/>
      <c r="I123" s="67"/>
    </row>
    <row r="124" spans="1:9" x14ac:dyDescent="0.3">
      <c r="A124" s="45">
        <f>+A121+1</f>
        <v>80</v>
      </c>
      <c r="B124" t="s">
        <v>55</v>
      </c>
      <c r="C124" s="53">
        <v>931</v>
      </c>
      <c r="D124"/>
    </row>
    <row r="125" spans="1:9" x14ac:dyDescent="0.3">
      <c r="A125" s="45">
        <f>+A124+1</f>
        <v>81</v>
      </c>
      <c r="B125" s="37" t="s">
        <v>63</v>
      </c>
      <c r="C125" s="26"/>
      <c r="D125" s="4">
        <f>H125/G125</f>
        <v>30.007407407407314</v>
      </c>
      <c r="E125" s="34">
        <f>E114</f>
        <v>10</v>
      </c>
      <c r="F125" s="38">
        <f>D125*E125</f>
        <v>300.07407407407311</v>
      </c>
      <c r="G125">
        <v>45</v>
      </c>
      <c r="H125" s="39">
        <f>I125*1000/12</f>
        <v>1350.3333333333292</v>
      </c>
      <c r="I125" s="70">
        <f>C124-I121</f>
        <v>16.203999999999951</v>
      </c>
    </row>
    <row r="126" spans="1:9" x14ac:dyDescent="0.3">
      <c r="A126" s="45"/>
      <c r="B126" s="37"/>
      <c r="C126" s="26"/>
      <c r="D126" s="4"/>
      <c r="E126" s="27"/>
      <c r="F126" s="38"/>
      <c r="H126" s="40"/>
      <c r="I126" s="71"/>
    </row>
    <row r="127" spans="1:9" x14ac:dyDescent="0.3">
      <c r="A127" s="45">
        <f>+A125+1</f>
        <v>82</v>
      </c>
      <c r="B127" s="37" t="s">
        <v>64</v>
      </c>
      <c r="C127" s="26"/>
      <c r="D127" s="4"/>
      <c r="E127" s="27"/>
      <c r="F127" s="41">
        <f>F121+F125</f>
        <v>15382.574074074073</v>
      </c>
      <c r="H127" s="39">
        <f>H121+H125</f>
        <v>77583.333333333328</v>
      </c>
      <c r="I127" s="70">
        <f>I121+I125</f>
        <v>931</v>
      </c>
    </row>
    <row r="128" spans="1:9" x14ac:dyDescent="0.3">
      <c r="A128" s="45"/>
      <c r="B128" s="37"/>
      <c r="C128" s="26"/>
      <c r="D128" s="4"/>
      <c r="E128" s="27"/>
      <c r="F128" s="42"/>
      <c r="H128" s="4"/>
      <c r="I128" s="71"/>
    </row>
    <row r="129" spans="1:9" x14ac:dyDescent="0.3">
      <c r="A129" s="45">
        <f>+A127+1</f>
        <v>83</v>
      </c>
      <c r="B129" s="35" t="s">
        <v>65</v>
      </c>
      <c r="C129" s="53">
        <v>228</v>
      </c>
      <c r="D129"/>
    </row>
    <row r="130" spans="1:9" x14ac:dyDescent="0.3">
      <c r="A130" s="45"/>
    </row>
    <row r="131" spans="1:9" x14ac:dyDescent="0.3">
      <c r="A131" s="45"/>
    </row>
    <row r="132" spans="1:9" x14ac:dyDescent="0.3">
      <c r="A132" s="45"/>
      <c r="B132" s="24" t="s">
        <v>74</v>
      </c>
      <c r="C132" s="24"/>
      <c r="D132" s="25" t="s">
        <v>66</v>
      </c>
      <c r="E132" s="25"/>
      <c r="F132" s="25"/>
      <c r="G132" s="25"/>
      <c r="H132" s="25"/>
      <c r="I132" s="66"/>
    </row>
    <row r="133" spans="1:9" x14ac:dyDescent="0.3">
      <c r="A133" s="45"/>
      <c r="C133"/>
      <c r="D133" t="s">
        <v>57</v>
      </c>
      <c r="E133" t="s">
        <v>58</v>
      </c>
      <c r="F133" t="s">
        <v>59</v>
      </c>
      <c r="G133" t="s">
        <v>60</v>
      </c>
      <c r="H133" t="s">
        <v>61</v>
      </c>
      <c r="I133" s="52" t="s">
        <v>62</v>
      </c>
    </row>
    <row r="134" spans="1:9" x14ac:dyDescent="0.3">
      <c r="A134" s="45">
        <f>+A129+1</f>
        <v>84</v>
      </c>
      <c r="B134" s="35" t="s">
        <v>46</v>
      </c>
      <c r="C134" s="35"/>
      <c r="D134" s="32">
        <v>364</v>
      </c>
      <c r="E134" s="33">
        <f>10*(1+F131)</f>
        <v>10</v>
      </c>
      <c r="F134" s="29">
        <f>D134*E134</f>
        <v>3640</v>
      </c>
      <c r="G134" s="29">
        <v>45</v>
      </c>
      <c r="H134" s="29">
        <f>D134*G134</f>
        <v>16380</v>
      </c>
      <c r="I134" s="67"/>
    </row>
    <row r="135" spans="1:9" x14ac:dyDescent="0.3">
      <c r="A135" s="45">
        <f>+A134+1</f>
        <v>85</v>
      </c>
      <c r="B135" s="35" t="s">
        <v>46</v>
      </c>
      <c r="C135" s="35"/>
      <c r="D135" s="32">
        <v>780</v>
      </c>
      <c r="E135" s="33">
        <f>4.1*(1+F131)</f>
        <v>4.0999999999999996</v>
      </c>
      <c r="F135" s="29">
        <f t="shared" ref="F135:F142" si="7">D135*E135</f>
        <v>3197.9999999999995</v>
      </c>
      <c r="G135" s="29">
        <v>45</v>
      </c>
      <c r="H135" s="29">
        <f t="shared" ref="H135:H142" si="8">D135*G135</f>
        <v>35100</v>
      </c>
      <c r="I135" s="67"/>
    </row>
    <row r="136" spans="1:9" x14ac:dyDescent="0.3">
      <c r="A136" s="45">
        <f>+A135+1</f>
        <v>86</v>
      </c>
      <c r="B136" s="35" t="s">
        <v>46</v>
      </c>
      <c r="C136" s="35"/>
      <c r="D136" s="32">
        <v>141</v>
      </c>
      <c r="E136" s="33">
        <v>6.75</v>
      </c>
      <c r="F136" s="29">
        <f t="shared" si="7"/>
        <v>951.75</v>
      </c>
      <c r="G136" s="29">
        <v>45</v>
      </c>
      <c r="H136" s="29">
        <f t="shared" si="8"/>
        <v>6345</v>
      </c>
      <c r="I136" s="67"/>
    </row>
    <row r="137" spans="1:9" x14ac:dyDescent="0.3">
      <c r="A137" s="45">
        <f t="shared" ref="A137:A142" si="9">+A136+1</f>
        <v>87</v>
      </c>
      <c r="B137" s="35" t="s">
        <v>51</v>
      </c>
      <c r="C137" s="35"/>
      <c r="D137" s="32">
        <v>35</v>
      </c>
      <c r="E137" s="33">
        <f>13.5*(1+F131)</f>
        <v>13.5</v>
      </c>
      <c r="F137" s="29">
        <f t="shared" si="7"/>
        <v>472.5</v>
      </c>
      <c r="G137" s="29">
        <v>67</v>
      </c>
      <c r="H137" s="29">
        <f t="shared" si="8"/>
        <v>2345</v>
      </c>
      <c r="I137" s="67"/>
    </row>
    <row r="138" spans="1:9" x14ac:dyDescent="0.3">
      <c r="A138" s="45">
        <f t="shared" si="9"/>
        <v>88</v>
      </c>
      <c r="B138" s="35" t="s">
        <v>52</v>
      </c>
      <c r="C138" s="35"/>
      <c r="D138" s="32">
        <v>0</v>
      </c>
      <c r="E138" s="33">
        <f>0*(1+F131)</f>
        <v>0</v>
      </c>
      <c r="F138" s="29">
        <f t="shared" si="7"/>
        <v>0</v>
      </c>
      <c r="G138" s="29">
        <v>99</v>
      </c>
      <c r="H138" s="29">
        <f t="shared" si="8"/>
        <v>0</v>
      </c>
      <c r="I138" s="67"/>
    </row>
    <row r="139" spans="1:9" x14ac:dyDescent="0.3">
      <c r="A139" s="45">
        <f t="shared" si="9"/>
        <v>89</v>
      </c>
      <c r="B139" s="35" t="s">
        <v>53</v>
      </c>
      <c r="C139" s="35"/>
      <c r="D139" s="32">
        <v>0</v>
      </c>
      <c r="E139" s="33">
        <f>0*(1+F131)</f>
        <v>0</v>
      </c>
      <c r="F139" s="29">
        <f t="shared" si="7"/>
        <v>0</v>
      </c>
      <c r="G139" s="29">
        <v>166</v>
      </c>
      <c r="H139" s="29">
        <f t="shared" si="8"/>
        <v>0</v>
      </c>
      <c r="I139" s="67"/>
    </row>
    <row r="140" spans="1:9" x14ac:dyDescent="0.3">
      <c r="A140" s="45">
        <f t="shared" si="9"/>
        <v>90</v>
      </c>
      <c r="B140" s="35" t="s">
        <v>47</v>
      </c>
      <c r="C140" s="35"/>
      <c r="D140" s="32">
        <v>40</v>
      </c>
      <c r="E140" s="33">
        <v>13.5</v>
      </c>
      <c r="F140" s="29">
        <f t="shared" si="7"/>
        <v>540</v>
      </c>
      <c r="G140" s="29">
        <v>99</v>
      </c>
      <c r="H140" s="29">
        <f t="shared" si="8"/>
        <v>3960</v>
      </c>
      <c r="I140" s="67"/>
    </row>
    <row r="141" spans="1:9" x14ac:dyDescent="0.3">
      <c r="A141" s="45">
        <f t="shared" si="9"/>
        <v>91</v>
      </c>
      <c r="B141" s="35" t="s">
        <v>54</v>
      </c>
      <c r="C141" s="35"/>
      <c r="D141" s="32"/>
      <c r="E141" s="33">
        <f>0*(1+F131)</f>
        <v>0</v>
      </c>
      <c r="F141" s="29">
        <f t="shared" si="7"/>
        <v>0</v>
      </c>
      <c r="G141" s="29">
        <v>166</v>
      </c>
      <c r="H141" s="29">
        <f t="shared" si="8"/>
        <v>0</v>
      </c>
      <c r="I141" s="67"/>
    </row>
    <row r="142" spans="1:9" x14ac:dyDescent="0.3">
      <c r="A142" s="45">
        <f t="shared" si="9"/>
        <v>92</v>
      </c>
      <c r="B142" s="36" t="s">
        <v>48</v>
      </c>
      <c r="C142" s="36"/>
      <c r="D142" s="32">
        <v>12</v>
      </c>
      <c r="E142" s="33">
        <f>3.4*(1+F131)</f>
        <v>3.4</v>
      </c>
      <c r="F142" s="30">
        <f t="shared" si="7"/>
        <v>40.799999999999997</v>
      </c>
      <c r="G142" s="30">
        <v>0</v>
      </c>
      <c r="H142" s="30">
        <f t="shared" si="8"/>
        <v>0</v>
      </c>
      <c r="I142" s="68"/>
    </row>
    <row r="143" spans="1:9" x14ac:dyDescent="0.3">
      <c r="A143" s="45">
        <f>+A142+1</f>
        <v>93</v>
      </c>
      <c r="B143" s="35"/>
      <c r="C143" s="35"/>
      <c r="D143" s="31">
        <f>SUM(D134:D142)</f>
        <v>1372</v>
      </c>
      <c r="F143" s="28">
        <f>SUM(F134:F142)</f>
        <v>8843.0499999999993</v>
      </c>
      <c r="G143" s="29"/>
      <c r="H143" s="28">
        <f>SUM(H134:H142)</f>
        <v>64130</v>
      </c>
      <c r="I143" s="69">
        <f>H143*12/1000</f>
        <v>769.56</v>
      </c>
    </row>
    <row r="144" spans="1:9" x14ac:dyDescent="0.3">
      <c r="A144" s="45"/>
      <c r="B144" s="35"/>
      <c r="C144" s="35"/>
      <c r="D144" s="26"/>
      <c r="F144" s="29"/>
      <c r="G144" s="29"/>
      <c r="H144" s="29"/>
      <c r="I144" s="67"/>
    </row>
    <row r="145" spans="1:10" x14ac:dyDescent="0.3">
      <c r="A145" s="45">
        <f>+A143+1</f>
        <v>94</v>
      </c>
      <c r="B145" t="s">
        <v>55</v>
      </c>
      <c r="C145" s="53">
        <v>761</v>
      </c>
      <c r="D145"/>
    </row>
    <row r="146" spans="1:10" x14ac:dyDescent="0.3">
      <c r="A146" s="45">
        <f>+A145+1</f>
        <v>95</v>
      </c>
      <c r="B146" s="37" t="s">
        <v>63</v>
      </c>
      <c r="C146" s="26"/>
      <c r="D146" s="4">
        <f>H146/45</f>
        <v>-15.851851851851752</v>
      </c>
      <c r="E146" s="34">
        <f>E134</f>
        <v>10</v>
      </c>
      <c r="F146" s="38">
        <f>D146*E146</f>
        <v>-158.51851851851751</v>
      </c>
      <c r="G146">
        <v>45</v>
      </c>
      <c r="H146" s="39">
        <f>I146*1000/12</f>
        <v>-713.33333333332882</v>
      </c>
      <c r="I146" s="70">
        <f>C145-I143</f>
        <v>-8.5599999999999454</v>
      </c>
    </row>
    <row r="147" spans="1:10" x14ac:dyDescent="0.3">
      <c r="A147" s="45"/>
      <c r="B147" s="37"/>
      <c r="C147" s="26"/>
      <c r="D147" s="4"/>
      <c r="E147" s="27"/>
      <c r="F147" s="38"/>
      <c r="H147" s="4"/>
      <c r="I147" s="71"/>
    </row>
    <row r="148" spans="1:10" x14ac:dyDescent="0.3">
      <c r="A148" s="45">
        <f>+A146+1</f>
        <v>96</v>
      </c>
      <c r="B148" s="37" t="s">
        <v>64</v>
      </c>
      <c r="C148" s="26"/>
      <c r="D148" s="4"/>
      <c r="E148" s="27"/>
      <c r="F148" s="41">
        <f>F143+F146</f>
        <v>8684.531481481481</v>
      </c>
      <c r="H148" s="39">
        <f>H143+H146</f>
        <v>63416.666666666672</v>
      </c>
      <c r="I148" s="70">
        <f>I143+I146</f>
        <v>761</v>
      </c>
    </row>
    <row r="149" spans="1:10" x14ac:dyDescent="0.3">
      <c r="A149" s="45"/>
      <c r="B149" s="37"/>
      <c r="C149" s="26"/>
      <c r="D149" s="4"/>
      <c r="E149" s="27"/>
      <c r="F149" s="42"/>
      <c r="H149" s="4"/>
      <c r="I149" s="71"/>
    </row>
    <row r="150" spans="1:10" x14ac:dyDescent="0.3">
      <c r="A150" s="45">
        <f>+A148+1</f>
        <v>97</v>
      </c>
      <c r="B150" s="35" t="s">
        <v>65</v>
      </c>
      <c r="C150" s="53">
        <v>131</v>
      </c>
      <c r="D150"/>
    </row>
    <row r="151" spans="1:10" x14ac:dyDescent="0.3">
      <c r="A151" s="45"/>
      <c r="C151" s="3"/>
      <c r="D151"/>
    </row>
    <row r="152" spans="1:10" x14ac:dyDescent="0.3">
      <c r="A152" s="45"/>
      <c r="B152" s="8" t="s">
        <v>28</v>
      </c>
      <c r="D152" s="12"/>
      <c r="E152" s="13" t="s">
        <v>22</v>
      </c>
      <c r="F152" s="13"/>
      <c r="H152" s="13" t="s">
        <v>29</v>
      </c>
      <c r="I152" s="72"/>
    </row>
    <row r="153" spans="1:10" x14ac:dyDescent="0.3">
      <c r="A153" s="45"/>
      <c r="D153" s="14" t="s">
        <v>19</v>
      </c>
      <c r="E153" s="14" t="s">
        <v>20</v>
      </c>
      <c r="F153" s="15" t="s">
        <v>21</v>
      </c>
      <c r="H153" s="14" t="s">
        <v>20</v>
      </c>
      <c r="I153" s="73" t="s">
        <v>21</v>
      </c>
    </row>
    <row r="154" spans="1:10" x14ac:dyDescent="0.3">
      <c r="A154" s="45">
        <f>+A150+1</f>
        <v>98</v>
      </c>
      <c r="B154" s="35" t="s">
        <v>46</v>
      </c>
      <c r="D154" s="2">
        <f>+D114+D134+D125+D146</f>
        <v>1282.1555555555556</v>
      </c>
      <c r="E154" s="43">
        <v>10</v>
      </c>
      <c r="F154" s="4">
        <f>+$D154*E154*12</f>
        <v>153858.66666666666</v>
      </c>
      <c r="H154" s="62">
        <f>E154*(1.38)</f>
        <v>13.799999999999999</v>
      </c>
      <c r="I154" s="71">
        <f>+$D154*H154*12</f>
        <v>212324.96</v>
      </c>
      <c r="J154" s="58">
        <f t="shared" ref="J154:J160" si="10">H154/E154</f>
        <v>1.38</v>
      </c>
    </row>
    <row r="155" spans="1:10" x14ac:dyDescent="0.3">
      <c r="A155" s="45">
        <f>+A154+1</f>
        <v>99</v>
      </c>
      <c r="B155" s="35" t="s">
        <v>46</v>
      </c>
      <c r="D155" s="2">
        <f>+D115+D135</f>
        <v>780</v>
      </c>
      <c r="E155" s="43">
        <v>4.0999999999999996</v>
      </c>
      <c r="F155" s="4">
        <f t="shared" ref="F155:F162" si="11">+$D155*E155*12</f>
        <v>38375.999999999993</v>
      </c>
      <c r="H155" s="62">
        <v>5.65</v>
      </c>
      <c r="I155" s="71">
        <f t="shared" ref="I155:I162" si="12">+$D155*H155*12</f>
        <v>52884</v>
      </c>
      <c r="J155" s="58">
        <f t="shared" si="10"/>
        <v>1.378048780487805</v>
      </c>
    </row>
    <row r="156" spans="1:10" x14ac:dyDescent="0.3">
      <c r="A156" s="45">
        <f t="shared" ref="A156:A164" si="13">+A155+1</f>
        <v>100</v>
      </c>
      <c r="B156" s="35" t="s">
        <v>46</v>
      </c>
      <c r="D156" s="2">
        <f>+D136</f>
        <v>141</v>
      </c>
      <c r="E156" s="43">
        <f>E136</f>
        <v>6.75</v>
      </c>
      <c r="F156" s="4">
        <f>+$D156*E156*12</f>
        <v>11421</v>
      </c>
      <c r="H156" s="62">
        <v>9.3000000000000007</v>
      </c>
      <c r="I156" s="71">
        <f t="shared" si="12"/>
        <v>15735.600000000002</v>
      </c>
      <c r="J156" s="58">
        <f t="shared" si="10"/>
        <v>1.377777777777778</v>
      </c>
    </row>
    <row r="157" spans="1:10" x14ac:dyDescent="0.3">
      <c r="A157" s="45">
        <f t="shared" si="13"/>
        <v>101</v>
      </c>
      <c r="B157" s="35" t="s">
        <v>51</v>
      </c>
      <c r="D157" s="2">
        <f>+D137+D115</f>
        <v>35</v>
      </c>
      <c r="E157" s="43">
        <v>13.5</v>
      </c>
      <c r="F157" s="4">
        <f t="shared" si="11"/>
        <v>5670</v>
      </c>
      <c r="H157" s="62">
        <v>18.649999999999999</v>
      </c>
      <c r="I157" s="71">
        <f t="shared" si="12"/>
        <v>7833</v>
      </c>
      <c r="J157" s="58">
        <f t="shared" si="10"/>
        <v>1.3814814814814813</v>
      </c>
    </row>
    <row r="158" spans="1:10" x14ac:dyDescent="0.3">
      <c r="A158" s="45">
        <f t="shared" si="13"/>
        <v>102</v>
      </c>
      <c r="B158" s="35" t="s">
        <v>52</v>
      </c>
      <c r="D158" s="2">
        <f>+D138+D116</f>
        <v>0</v>
      </c>
      <c r="E158" s="43">
        <v>17.8</v>
      </c>
      <c r="F158" s="4">
        <f t="shared" si="11"/>
        <v>0</v>
      </c>
      <c r="H158" s="62">
        <v>24.55</v>
      </c>
      <c r="I158" s="71">
        <f t="shared" si="12"/>
        <v>0</v>
      </c>
      <c r="J158" s="58">
        <f t="shared" si="10"/>
        <v>1.3792134831460674</v>
      </c>
    </row>
    <row r="159" spans="1:10" x14ac:dyDescent="0.3">
      <c r="A159" s="45">
        <f t="shared" si="13"/>
        <v>103</v>
      </c>
      <c r="B159" s="35" t="s">
        <v>53</v>
      </c>
      <c r="D159" s="2">
        <f>D117</f>
        <v>12</v>
      </c>
      <c r="E159" s="43">
        <v>23</v>
      </c>
      <c r="F159" s="4">
        <f t="shared" si="11"/>
        <v>3312</v>
      </c>
      <c r="H159" s="62">
        <v>31.7</v>
      </c>
      <c r="I159" s="71">
        <f t="shared" si="12"/>
        <v>4564.7999999999993</v>
      </c>
      <c r="J159" s="58">
        <f t="shared" si="10"/>
        <v>1.3782608695652174</v>
      </c>
    </row>
    <row r="160" spans="1:10" x14ac:dyDescent="0.3">
      <c r="A160" s="45">
        <f t="shared" si="13"/>
        <v>104</v>
      </c>
      <c r="B160" s="35" t="s">
        <v>47</v>
      </c>
      <c r="D160" s="2">
        <f>+D118+D140</f>
        <v>379</v>
      </c>
      <c r="E160" s="43">
        <v>13.5</v>
      </c>
      <c r="F160" s="4">
        <f t="shared" si="11"/>
        <v>61398</v>
      </c>
      <c r="H160" s="62">
        <v>18.649999999999999</v>
      </c>
      <c r="I160" s="71">
        <f t="shared" si="12"/>
        <v>84820.2</v>
      </c>
      <c r="J160" s="58">
        <f t="shared" si="10"/>
        <v>1.3814814814814813</v>
      </c>
    </row>
    <row r="161" spans="1:10" x14ac:dyDescent="0.3">
      <c r="A161" s="45">
        <f t="shared" si="13"/>
        <v>105</v>
      </c>
      <c r="B161" s="35" t="s">
        <v>54</v>
      </c>
      <c r="D161" s="2">
        <f>+D119+D141</f>
        <v>0</v>
      </c>
      <c r="E161" s="43">
        <v>0</v>
      </c>
      <c r="F161" s="4">
        <f t="shared" si="11"/>
        <v>0</v>
      </c>
      <c r="H161" s="62">
        <f t="shared" ref="H161" si="14">E161*(1.38)</f>
        <v>0</v>
      </c>
      <c r="I161" s="71">
        <f t="shared" si="12"/>
        <v>0</v>
      </c>
      <c r="J161" s="58"/>
    </row>
    <row r="162" spans="1:10" x14ac:dyDescent="0.3">
      <c r="A162" s="45">
        <f t="shared" si="13"/>
        <v>106</v>
      </c>
      <c r="B162" s="36" t="s">
        <v>48</v>
      </c>
      <c r="D162" s="2">
        <f>+D120+D142</f>
        <v>362</v>
      </c>
      <c r="E162" s="43">
        <v>3.4</v>
      </c>
      <c r="F162" s="4">
        <f t="shared" si="11"/>
        <v>14769.599999999999</v>
      </c>
      <c r="H162" s="62">
        <v>4.7</v>
      </c>
      <c r="I162" s="71">
        <f t="shared" si="12"/>
        <v>20416.800000000003</v>
      </c>
      <c r="J162" s="58">
        <f>H162/E162</f>
        <v>1.3823529411764708</v>
      </c>
    </row>
    <row r="163" spans="1:10" ht="15" thickBot="1" x14ac:dyDescent="0.35">
      <c r="A163" s="45">
        <f t="shared" si="13"/>
        <v>107</v>
      </c>
      <c r="F163" s="44">
        <f>SUM(F154:F162)</f>
        <v>288805.2666666666</v>
      </c>
      <c r="H163" s="54"/>
      <c r="I163" s="74">
        <f>SUM(I154:I162)</f>
        <v>398579.35999999993</v>
      </c>
    </row>
    <row r="164" spans="1:10" ht="15" thickTop="1" x14ac:dyDescent="0.3">
      <c r="A164" s="45">
        <f t="shared" si="13"/>
        <v>108</v>
      </c>
      <c r="B164" t="s">
        <v>67</v>
      </c>
      <c r="F164" s="4">
        <f>+(C165-F163)/F163</f>
        <v>0.37998175933541406</v>
      </c>
      <c r="I164" s="71">
        <f>+I163-C165</f>
        <v>33.359999999927823</v>
      </c>
    </row>
    <row r="165" spans="1:10" x14ac:dyDescent="0.3">
      <c r="A165" s="45"/>
      <c r="C165" s="63">
        <v>398546</v>
      </c>
      <c r="D165" s="48" t="s">
        <v>71</v>
      </c>
      <c r="I165" s="75">
        <f>+(I163/F163)-1</f>
        <v>0.38009726969429702</v>
      </c>
    </row>
    <row r="166" spans="1:10" x14ac:dyDescent="0.3">
      <c r="A166" s="45"/>
    </row>
    <row r="167" spans="1:10" x14ac:dyDescent="0.3">
      <c r="A167" s="45"/>
      <c r="F167" s="1"/>
    </row>
    <row r="168" spans="1:10" x14ac:dyDescent="0.3">
      <c r="A168" s="45"/>
    </row>
    <row r="169" spans="1:10" x14ac:dyDescent="0.3">
      <c r="A169" s="45"/>
    </row>
    <row r="170" spans="1:10" x14ac:dyDescent="0.3">
      <c r="A170" s="45"/>
    </row>
    <row r="171" spans="1:10" x14ac:dyDescent="0.3">
      <c r="A171" s="45"/>
    </row>
    <row r="172" spans="1:10" x14ac:dyDescent="0.3">
      <c r="A172" s="45"/>
    </row>
    <row r="173" spans="1:10" x14ac:dyDescent="0.3">
      <c r="A173" s="45"/>
    </row>
    <row r="174" spans="1:10" x14ac:dyDescent="0.3">
      <c r="A174" s="45"/>
    </row>
    <row r="175" spans="1:10" x14ac:dyDescent="0.3">
      <c r="A175" s="45"/>
    </row>
    <row r="176" spans="1:10" x14ac:dyDescent="0.3">
      <c r="A176" s="45"/>
    </row>
    <row r="177" spans="1:1" x14ac:dyDescent="0.3">
      <c r="A177" s="45"/>
    </row>
    <row r="178" spans="1:1" x14ac:dyDescent="0.3">
      <c r="A178" s="45"/>
    </row>
    <row r="179" spans="1:1" x14ac:dyDescent="0.3">
      <c r="A179" s="45"/>
    </row>
    <row r="180" spans="1:1" x14ac:dyDescent="0.3">
      <c r="A180" s="45"/>
    </row>
    <row r="181" spans="1:1" x14ac:dyDescent="0.3">
      <c r="A181" s="45"/>
    </row>
    <row r="182" spans="1:1" x14ac:dyDescent="0.3">
      <c r="A182" s="45"/>
    </row>
    <row r="183" spans="1:1" x14ac:dyDescent="0.3">
      <c r="A183" s="45"/>
    </row>
    <row r="184" spans="1:1" x14ac:dyDescent="0.3">
      <c r="A184" s="45"/>
    </row>
    <row r="185" spans="1:1" x14ac:dyDescent="0.3">
      <c r="A185" s="45"/>
    </row>
    <row r="186" spans="1:1" x14ac:dyDescent="0.3">
      <c r="A186" s="45"/>
    </row>
    <row r="187" spans="1:1" x14ac:dyDescent="0.3">
      <c r="A187" s="45"/>
    </row>
    <row r="188" spans="1:1" x14ac:dyDescent="0.3">
      <c r="A188" s="45"/>
    </row>
    <row r="189" spans="1:1" x14ac:dyDescent="0.3">
      <c r="A189" s="45"/>
    </row>
    <row r="190" spans="1:1" x14ac:dyDescent="0.3">
      <c r="A190" s="45"/>
    </row>
    <row r="191" spans="1:1" x14ac:dyDescent="0.3">
      <c r="A191" s="45"/>
    </row>
    <row r="192" spans="1:1" x14ac:dyDescent="0.3">
      <c r="A192" s="45"/>
    </row>
    <row r="193" spans="1:1" x14ac:dyDescent="0.3">
      <c r="A193" s="45"/>
    </row>
    <row r="194" spans="1:1" x14ac:dyDescent="0.3">
      <c r="A194" s="45"/>
    </row>
    <row r="195" spans="1:1" x14ac:dyDescent="0.3">
      <c r="A195" s="45"/>
    </row>
    <row r="196" spans="1:1" x14ac:dyDescent="0.3">
      <c r="A196" s="45"/>
    </row>
    <row r="197" spans="1:1" x14ac:dyDescent="0.3">
      <c r="A197" s="45"/>
    </row>
    <row r="198" spans="1:1" x14ac:dyDescent="0.3">
      <c r="A198" s="45"/>
    </row>
    <row r="199" spans="1:1" x14ac:dyDescent="0.3">
      <c r="A199" s="45"/>
    </row>
    <row r="200" spans="1:1" x14ac:dyDescent="0.3">
      <c r="A200" s="45"/>
    </row>
    <row r="201" spans="1:1" x14ac:dyDescent="0.3">
      <c r="A201" s="45"/>
    </row>
    <row r="202" spans="1:1" x14ac:dyDescent="0.3">
      <c r="A202" s="45"/>
    </row>
    <row r="203" spans="1:1" x14ac:dyDescent="0.3">
      <c r="A203" s="45"/>
    </row>
    <row r="204" spans="1:1" x14ac:dyDescent="0.3">
      <c r="A204" s="45"/>
    </row>
    <row r="205" spans="1:1" x14ac:dyDescent="0.3">
      <c r="A205" s="45"/>
    </row>
    <row r="206" spans="1:1" x14ac:dyDescent="0.3">
      <c r="A206" s="45"/>
    </row>
    <row r="207" spans="1:1" x14ac:dyDescent="0.3">
      <c r="A207" s="45"/>
    </row>
    <row r="208" spans="1:1" x14ac:dyDescent="0.3">
      <c r="A208" s="45"/>
    </row>
    <row r="209" spans="1:1" x14ac:dyDescent="0.3">
      <c r="A209" s="45"/>
    </row>
    <row r="210" spans="1:1" x14ac:dyDescent="0.3">
      <c r="A210" s="45"/>
    </row>
    <row r="211" spans="1:1" x14ac:dyDescent="0.3">
      <c r="A211" s="45"/>
    </row>
    <row r="212" spans="1:1" x14ac:dyDescent="0.3">
      <c r="A212" s="45"/>
    </row>
    <row r="213" spans="1:1" x14ac:dyDescent="0.3">
      <c r="A213" s="45"/>
    </row>
    <row r="214" spans="1:1" x14ac:dyDescent="0.3">
      <c r="A214" s="45"/>
    </row>
    <row r="215" spans="1:1" x14ac:dyDescent="0.3">
      <c r="A215" s="45"/>
    </row>
    <row r="216" spans="1:1" x14ac:dyDescent="0.3">
      <c r="A216" s="45"/>
    </row>
    <row r="217" spans="1:1" x14ac:dyDescent="0.3">
      <c r="A217" s="45"/>
    </row>
    <row r="218" spans="1:1" x14ac:dyDescent="0.3">
      <c r="A218" s="45"/>
    </row>
    <row r="219" spans="1:1" x14ac:dyDescent="0.3">
      <c r="A219" s="45"/>
    </row>
    <row r="220" spans="1:1" x14ac:dyDescent="0.3">
      <c r="A220" s="45"/>
    </row>
    <row r="221" spans="1:1" x14ac:dyDescent="0.3">
      <c r="A221" s="45"/>
    </row>
    <row r="222" spans="1:1" x14ac:dyDescent="0.3">
      <c r="A222" s="45"/>
    </row>
    <row r="223" spans="1:1" x14ac:dyDescent="0.3">
      <c r="A223" s="45"/>
    </row>
    <row r="224" spans="1:1" x14ac:dyDescent="0.3">
      <c r="A224" s="45"/>
    </row>
    <row r="225" spans="1:1" x14ac:dyDescent="0.3">
      <c r="A225" s="45"/>
    </row>
    <row r="226" spans="1:1" x14ac:dyDescent="0.3">
      <c r="A226" s="45"/>
    </row>
    <row r="227" spans="1:1" x14ac:dyDescent="0.3">
      <c r="A227" s="45"/>
    </row>
    <row r="228" spans="1:1" x14ac:dyDescent="0.3">
      <c r="A228" s="45"/>
    </row>
    <row r="229" spans="1:1" x14ac:dyDescent="0.3">
      <c r="A229" s="45"/>
    </row>
    <row r="230" spans="1:1" x14ac:dyDescent="0.3">
      <c r="A230" s="45"/>
    </row>
    <row r="231" spans="1:1" x14ac:dyDescent="0.3">
      <c r="A231" s="45"/>
    </row>
    <row r="232" spans="1:1" x14ac:dyDescent="0.3">
      <c r="A232" s="45"/>
    </row>
    <row r="233" spans="1:1" x14ac:dyDescent="0.3">
      <c r="A233" s="45"/>
    </row>
    <row r="234" spans="1:1" x14ac:dyDescent="0.3">
      <c r="A234" s="45"/>
    </row>
    <row r="235" spans="1:1" x14ac:dyDescent="0.3">
      <c r="A235" s="45"/>
    </row>
    <row r="236" spans="1:1" x14ac:dyDescent="0.3">
      <c r="A236" s="45"/>
    </row>
    <row r="237" spans="1:1" x14ac:dyDescent="0.3">
      <c r="A237" s="45"/>
    </row>
    <row r="238" spans="1:1" x14ac:dyDescent="0.3">
      <c r="A238" s="45"/>
    </row>
    <row r="239" spans="1:1" x14ac:dyDescent="0.3">
      <c r="A239" s="45"/>
    </row>
    <row r="240" spans="1:1" x14ac:dyDescent="0.3">
      <c r="A240" s="45"/>
    </row>
    <row r="241" spans="1:1" x14ac:dyDescent="0.3">
      <c r="A241" s="45"/>
    </row>
    <row r="242" spans="1:1" x14ac:dyDescent="0.3">
      <c r="A242" s="45"/>
    </row>
    <row r="243" spans="1:1" x14ac:dyDescent="0.3">
      <c r="A243" s="45"/>
    </row>
    <row r="244" spans="1:1" x14ac:dyDescent="0.3">
      <c r="A244" s="45"/>
    </row>
    <row r="245" spans="1:1" x14ac:dyDescent="0.3">
      <c r="A245" s="45"/>
    </row>
    <row r="246" spans="1:1" x14ac:dyDescent="0.3">
      <c r="A246" s="45"/>
    </row>
    <row r="247" spans="1:1" x14ac:dyDescent="0.3">
      <c r="A247" s="45"/>
    </row>
    <row r="248" spans="1:1" x14ac:dyDescent="0.3">
      <c r="A248" s="45"/>
    </row>
    <row r="249" spans="1:1" x14ac:dyDescent="0.3">
      <c r="A249" s="45"/>
    </row>
    <row r="250" spans="1:1" x14ac:dyDescent="0.3">
      <c r="A250" s="45"/>
    </row>
    <row r="251" spans="1:1" x14ac:dyDescent="0.3">
      <c r="A251" s="45"/>
    </row>
    <row r="252" spans="1:1" x14ac:dyDescent="0.3">
      <c r="A252" s="45"/>
    </row>
    <row r="253" spans="1:1" x14ac:dyDescent="0.3">
      <c r="A253" s="45"/>
    </row>
    <row r="254" spans="1:1" x14ac:dyDescent="0.3">
      <c r="A254" s="45"/>
    </row>
    <row r="255" spans="1:1" x14ac:dyDescent="0.3">
      <c r="A255" s="45"/>
    </row>
    <row r="256" spans="1:1" x14ac:dyDescent="0.3">
      <c r="A256" s="45"/>
    </row>
    <row r="257" spans="1:1" x14ac:dyDescent="0.3">
      <c r="A257" s="45"/>
    </row>
    <row r="258" spans="1:1" x14ac:dyDescent="0.3">
      <c r="A258" s="45"/>
    </row>
    <row r="259" spans="1:1" x14ac:dyDescent="0.3">
      <c r="A259" s="45"/>
    </row>
    <row r="260" spans="1:1" x14ac:dyDescent="0.3">
      <c r="A260" s="45"/>
    </row>
    <row r="261" spans="1:1" x14ac:dyDescent="0.3">
      <c r="A261" s="45"/>
    </row>
    <row r="262" spans="1:1" x14ac:dyDescent="0.3">
      <c r="A262" s="45"/>
    </row>
    <row r="263" spans="1:1" x14ac:dyDescent="0.3">
      <c r="A263" s="45"/>
    </row>
    <row r="264" spans="1:1" x14ac:dyDescent="0.3">
      <c r="A264" s="45"/>
    </row>
    <row r="265" spans="1:1" x14ac:dyDescent="0.3">
      <c r="A265" s="45"/>
    </row>
    <row r="266" spans="1:1" x14ac:dyDescent="0.3">
      <c r="A266" s="45"/>
    </row>
    <row r="267" spans="1:1" x14ac:dyDescent="0.3">
      <c r="A267" s="45"/>
    </row>
    <row r="268" spans="1:1" x14ac:dyDescent="0.3">
      <c r="A268" s="45"/>
    </row>
    <row r="269" spans="1:1" x14ac:dyDescent="0.3">
      <c r="A269" s="45"/>
    </row>
    <row r="270" spans="1:1" x14ac:dyDescent="0.3">
      <c r="A270" s="45"/>
    </row>
    <row r="271" spans="1:1" x14ac:dyDescent="0.3">
      <c r="A271" s="45"/>
    </row>
    <row r="272" spans="1:1" x14ac:dyDescent="0.3">
      <c r="A272" s="45"/>
    </row>
    <row r="273" spans="1:1" x14ac:dyDescent="0.3">
      <c r="A273" s="45"/>
    </row>
    <row r="274" spans="1:1" x14ac:dyDescent="0.3">
      <c r="A274" s="45"/>
    </row>
    <row r="275" spans="1:1" x14ac:dyDescent="0.3">
      <c r="A275" s="45"/>
    </row>
    <row r="276" spans="1:1" x14ac:dyDescent="0.3">
      <c r="A276" s="45"/>
    </row>
    <row r="277" spans="1:1" x14ac:dyDescent="0.3">
      <c r="A277" s="45"/>
    </row>
    <row r="278" spans="1:1" x14ac:dyDescent="0.3">
      <c r="A278" s="45"/>
    </row>
    <row r="279" spans="1:1" x14ac:dyDescent="0.3">
      <c r="A279" s="45"/>
    </row>
    <row r="280" spans="1:1" x14ac:dyDescent="0.3">
      <c r="A280" s="45"/>
    </row>
    <row r="281" spans="1:1" x14ac:dyDescent="0.3">
      <c r="A281" s="45"/>
    </row>
    <row r="282" spans="1:1" x14ac:dyDescent="0.3">
      <c r="A282" s="45"/>
    </row>
    <row r="283" spans="1:1" x14ac:dyDescent="0.3">
      <c r="A283" s="45"/>
    </row>
    <row r="284" spans="1:1" x14ac:dyDescent="0.3">
      <c r="A284" s="45"/>
    </row>
    <row r="285" spans="1:1" x14ac:dyDescent="0.3">
      <c r="A285" s="45"/>
    </row>
    <row r="286" spans="1:1" x14ac:dyDescent="0.3">
      <c r="A286" s="45"/>
    </row>
    <row r="287" spans="1:1" x14ac:dyDescent="0.3">
      <c r="A287" s="45"/>
    </row>
    <row r="288" spans="1:1" x14ac:dyDescent="0.3">
      <c r="A288" s="45"/>
    </row>
    <row r="289" spans="1:1" x14ac:dyDescent="0.3">
      <c r="A289" s="45"/>
    </row>
    <row r="290" spans="1:1" x14ac:dyDescent="0.3">
      <c r="A290" s="45"/>
    </row>
    <row r="291" spans="1:1" x14ac:dyDescent="0.3">
      <c r="A291" s="45"/>
    </row>
    <row r="292" spans="1:1" x14ac:dyDescent="0.3">
      <c r="A292" s="45"/>
    </row>
    <row r="293" spans="1:1" x14ac:dyDescent="0.3">
      <c r="A293" s="45"/>
    </row>
    <row r="294" spans="1:1" x14ac:dyDescent="0.3">
      <c r="A294" s="45"/>
    </row>
    <row r="295" spans="1:1" x14ac:dyDescent="0.3">
      <c r="A295" s="45"/>
    </row>
    <row r="296" spans="1:1" x14ac:dyDescent="0.3">
      <c r="A296" s="45"/>
    </row>
    <row r="297" spans="1:1" x14ac:dyDescent="0.3">
      <c r="A297" s="45"/>
    </row>
    <row r="298" spans="1:1" x14ac:dyDescent="0.3">
      <c r="A298" s="45"/>
    </row>
    <row r="299" spans="1:1" x14ac:dyDescent="0.3">
      <c r="A299" s="45"/>
    </row>
    <row r="300" spans="1:1" x14ac:dyDescent="0.3">
      <c r="A300" s="45"/>
    </row>
    <row r="301" spans="1:1" x14ac:dyDescent="0.3">
      <c r="A301" s="45"/>
    </row>
    <row r="302" spans="1:1" x14ac:dyDescent="0.3">
      <c r="A302" s="45"/>
    </row>
    <row r="303" spans="1:1" x14ac:dyDescent="0.3">
      <c r="A303" s="45"/>
    </row>
    <row r="304" spans="1:1" x14ac:dyDescent="0.3">
      <c r="A304" s="45"/>
    </row>
    <row r="305" spans="1:1" x14ac:dyDescent="0.3">
      <c r="A305" s="45"/>
    </row>
    <row r="306" spans="1:1" x14ac:dyDescent="0.3">
      <c r="A306" s="45"/>
    </row>
    <row r="307" spans="1:1" x14ac:dyDescent="0.3">
      <c r="A307" s="45"/>
    </row>
    <row r="308" spans="1:1" x14ac:dyDescent="0.3">
      <c r="A308" s="45"/>
    </row>
    <row r="309" spans="1:1" x14ac:dyDescent="0.3">
      <c r="A309" s="45"/>
    </row>
    <row r="310" spans="1:1" x14ac:dyDescent="0.3">
      <c r="A310" s="45"/>
    </row>
    <row r="311" spans="1:1" x14ac:dyDescent="0.3">
      <c r="A311" s="45"/>
    </row>
    <row r="312" spans="1:1" x14ac:dyDescent="0.3">
      <c r="A312" s="45"/>
    </row>
    <row r="313" spans="1:1" x14ac:dyDescent="0.3">
      <c r="A313" s="45"/>
    </row>
    <row r="314" spans="1:1" x14ac:dyDescent="0.3">
      <c r="A314" s="45"/>
    </row>
    <row r="315" spans="1:1" x14ac:dyDescent="0.3">
      <c r="A315" s="45"/>
    </row>
    <row r="316" spans="1:1" x14ac:dyDescent="0.3">
      <c r="A316" s="45"/>
    </row>
    <row r="317" spans="1:1" x14ac:dyDescent="0.3">
      <c r="A317" s="45"/>
    </row>
    <row r="318" spans="1:1" x14ac:dyDescent="0.3">
      <c r="A318" s="45"/>
    </row>
    <row r="319" spans="1:1" x14ac:dyDescent="0.3">
      <c r="A319" s="45"/>
    </row>
    <row r="320" spans="1:1" x14ac:dyDescent="0.3">
      <c r="A320" s="45"/>
    </row>
    <row r="321" spans="1:1" x14ac:dyDescent="0.3">
      <c r="A321" s="45"/>
    </row>
    <row r="322" spans="1:1" x14ac:dyDescent="0.3">
      <c r="A322" s="45"/>
    </row>
    <row r="323" spans="1:1" x14ac:dyDescent="0.3">
      <c r="A323" s="45"/>
    </row>
    <row r="324" spans="1:1" x14ac:dyDescent="0.3">
      <c r="A324" s="45"/>
    </row>
    <row r="325" spans="1:1" x14ac:dyDescent="0.3">
      <c r="A325" s="45"/>
    </row>
    <row r="326" spans="1:1" x14ac:dyDescent="0.3">
      <c r="A326" s="45"/>
    </row>
    <row r="327" spans="1:1" x14ac:dyDescent="0.3">
      <c r="A327" s="45"/>
    </row>
    <row r="328" spans="1:1" x14ac:dyDescent="0.3">
      <c r="A328" s="45"/>
    </row>
    <row r="329" spans="1:1" x14ac:dyDescent="0.3">
      <c r="A329" s="45"/>
    </row>
    <row r="330" spans="1:1" x14ac:dyDescent="0.3">
      <c r="A330" s="45"/>
    </row>
    <row r="331" spans="1:1" x14ac:dyDescent="0.3">
      <c r="A331" s="45"/>
    </row>
    <row r="332" spans="1:1" x14ac:dyDescent="0.3">
      <c r="A332" s="45"/>
    </row>
    <row r="333" spans="1:1" x14ac:dyDescent="0.3">
      <c r="A333" s="45"/>
    </row>
    <row r="334" spans="1:1" x14ac:dyDescent="0.3">
      <c r="A334" s="45"/>
    </row>
    <row r="335" spans="1:1" x14ac:dyDescent="0.3">
      <c r="A335" s="45"/>
    </row>
    <row r="336" spans="1:1" x14ac:dyDescent="0.3">
      <c r="A336" s="45"/>
    </row>
    <row r="337" spans="1:1" x14ac:dyDescent="0.3">
      <c r="A337" s="45"/>
    </row>
    <row r="338" spans="1:1" x14ac:dyDescent="0.3">
      <c r="A338" s="45"/>
    </row>
    <row r="339" spans="1:1" x14ac:dyDescent="0.3">
      <c r="A339" s="45"/>
    </row>
    <row r="340" spans="1:1" x14ac:dyDescent="0.3">
      <c r="A340" s="45"/>
    </row>
    <row r="341" spans="1:1" x14ac:dyDescent="0.3">
      <c r="A341" s="45"/>
    </row>
    <row r="342" spans="1:1" x14ac:dyDescent="0.3">
      <c r="A342" s="45"/>
    </row>
    <row r="343" spans="1:1" x14ac:dyDescent="0.3">
      <c r="A343" s="45"/>
    </row>
    <row r="344" spans="1:1" x14ac:dyDescent="0.3">
      <c r="A344" s="45"/>
    </row>
    <row r="345" spans="1:1" x14ac:dyDescent="0.3">
      <c r="A345" s="45"/>
    </row>
    <row r="346" spans="1:1" x14ac:dyDescent="0.3">
      <c r="A346" s="45"/>
    </row>
    <row r="347" spans="1:1" x14ac:dyDescent="0.3">
      <c r="A347" s="45"/>
    </row>
    <row r="348" spans="1:1" x14ac:dyDescent="0.3">
      <c r="A348" s="45"/>
    </row>
    <row r="349" spans="1:1" x14ac:dyDescent="0.3">
      <c r="A349" s="45"/>
    </row>
    <row r="350" spans="1:1" x14ac:dyDescent="0.3">
      <c r="A350" s="45"/>
    </row>
    <row r="351" spans="1:1" x14ac:dyDescent="0.3">
      <c r="A351" s="45"/>
    </row>
    <row r="352" spans="1:1" x14ac:dyDescent="0.3">
      <c r="A352" s="45"/>
    </row>
    <row r="353" spans="1:1" x14ac:dyDescent="0.3">
      <c r="A353" s="45"/>
    </row>
    <row r="354" spans="1:1" x14ac:dyDescent="0.3">
      <c r="A354" s="45"/>
    </row>
    <row r="355" spans="1:1" x14ac:dyDescent="0.3">
      <c r="A355" s="45"/>
    </row>
    <row r="356" spans="1:1" x14ac:dyDescent="0.3">
      <c r="A356" s="45"/>
    </row>
    <row r="357" spans="1:1" x14ac:dyDescent="0.3">
      <c r="A357" s="45"/>
    </row>
    <row r="358" spans="1:1" x14ac:dyDescent="0.3">
      <c r="A358" s="45"/>
    </row>
    <row r="359" spans="1:1" x14ac:dyDescent="0.3">
      <c r="A359" s="45"/>
    </row>
    <row r="360" spans="1:1" x14ac:dyDescent="0.3">
      <c r="A360" s="45"/>
    </row>
    <row r="361" spans="1:1" x14ac:dyDescent="0.3">
      <c r="A361" s="45"/>
    </row>
    <row r="362" spans="1:1" x14ac:dyDescent="0.3">
      <c r="A362" s="45"/>
    </row>
    <row r="363" spans="1:1" x14ac:dyDescent="0.3">
      <c r="A363" s="45"/>
    </row>
    <row r="364" spans="1:1" x14ac:dyDescent="0.3">
      <c r="A364" s="45"/>
    </row>
    <row r="365" spans="1:1" x14ac:dyDescent="0.3">
      <c r="A365" s="45"/>
    </row>
    <row r="366" spans="1:1" x14ac:dyDescent="0.3">
      <c r="A366" s="45"/>
    </row>
    <row r="367" spans="1:1" x14ac:dyDescent="0.3">
      <c r="A367" s="45"/>
    </row>
    <row r="368" spans="1:1" x14ac:dyDescent="0.3">
      <c r="A368" s="45"/>
    </row>
    <row r="369" spans="1:1" x14ac:dyDescent="0.3">
      <c r="A369" s="45"/>
    </row>
    <row r="370" spans="1:1" x14ac:dyDescent="0.3">
      <c r="A370" s="45"/>
    </row>
  </sheetData>
  <pageMargins left="0.7" right="0.7" top="0.75" bottom="0.75" header="0.3" footer="0.3"/>
  <pageSetup scale="79" orientation="landscape" r:id="rId1"/>
  <rowBreaks count="3" manualBreakCount="3">
    <brk id="40" max="16383" man="1"/>
    <brk id="73" max="16383" man="1"/>
    <brk id="11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0"/>
  <sheetViews>
    <sheetView topLeftCell="A109" zoomScaleNormal="100" workbookViewId="0">
      <selection activeCell="A99" sqref="A99"/>
    </sheetView>
  </sheetViews>
  <sheetFormatPr defaultRowHeight="14.4" x14ac:dyDescent="0.3"/>
  <cols>
    <col min="2" max="2" width="37" customWidth="1"/>
    <col min="3" max="3" width="29.88671875" style="2" customWidth="1"/>
    <col min="4" max="4" width="12.33203125" style="2" customWidth="1"/>
    <col min="5" max="5" width="16.33203125" bestFit="1" customWidth="1"/>
    <col min="6" max="7" width="11.5546875" bestFit="1" customWidth="1"/>
    <col min="8" max="8" width="12.88671875" bestFit="1" customWidth="1"/>
    <col min="9" max="9" width="13.44140625" style="52" bestFit="1" customWidth="1"/>
  </cols>
  <sheetData>
    <row r="1" spans="1:8" x14ac:dyDescent="0.3">
      <c r="A1" s="46" t="s">
        <v>4</v>
      </c>
      <c r="B1" s="46"/>
      <c r="C1" s="13"/>
      <c r="D1" s="13"/>
      <c r="E1" s="46"/>
      <c r="F1" s="46"/>
      <c r="G1" s="46"/>
      <c r="H1" s="46"/>
    </row>
    <row r="2" spans="1:8" x14ac:dyDescent="0.3">
      <c r="A2" s="46" t="s">
        <v>0</v>
      </c>
      <c r="B2" s="46"/>
      <c r="C2" s="13"/>
      <c r="D2" s="13"/>
      <c r="E2" s="46"/>
      <c r="F2" s="46"/>
      <c r="G2" s="46"/>
      <c r="H2" s="46"/>
    </row>
    <row r="3" spans="1:8" x14ac:dyDescent="0.3">
      <c r="A3" s="46" t="s">
        <v>73</v>
      </c>
      <c r="B3" s="46"/>
      <c r="C3" s="13"/>
      <c r="D3" s="13"/>
      <c r="E3" s="46"/>
      <c r="F3" s="46"/>
      <c r="G3" s="46"/>
      <c r="H3" s="46"/>
    </row>
    <row r="4" spans="1:8" x14ac:dyDescent="0.3">
      <c r="A4" t="str">
        <f ca="1">+CELL("filename")</f>
        <v>Y:\D Drive\_ FINAL RFIs\DRAFTS\Oct 15-13 B3\[PUB-NLH-117 Excel Attachment 1.xlsx]Rate Design (DEM)</v>
      </c>
    </row>
    <row r="5" spans="1:8" x14ac:dyDescent="0.3">
      <c r="A5" s="15" t="s">
        <v>2</v>
      </c>
      <c r="D5" s="12" t="s">
        <v>1</v>
      </c>
    </row>
    <row r="6" spans="1:8" x14ac:dyDescent="0.3">
      <c r="A6" s="7">
        <v>1</v>
      </c>
      <c r="B6" t="s">
        <v>3</v>
      </c>
      <c r="C6" s="63">
        <v>23003935</v>
      </c>
      <c r="D6" s="2" t="s">
        <v>71</v>
      </c>
    </row>
    <row r="7" spans="1:8" x14ac:dyDescent="0.3">
      <c r="A7" s="7">
        <f>+A6+1</f>
        <v>2</v>
      </c>
      <c r="B7" t="s">
        <v>5</v>
      </c>
      <c r="C7" s="48">
        <f>+H37</f>
        <v>13574964.203077644</v>
      </c>
      <c r="D7" s="48" t="str">
        <f>+"Line "&amp;A37</f>
        <v>Line 23</v>
      </c>
    </row>
    <row r="8" spans="1:8" x14ac:dyDescent="0.3">
      <c r="A8" s="7">
        <f t="shared" ref="A8:A14" si="0">+A7+1</f>
        <v>3</v>
      </c>
      <c r="B8" t="s">
        <v>6</v>
      </c>
      <c r="C8" s="48">
        <f>+H52</f>
        <v>443159.78840371629</v>
      </c>
      <c r="D8" s="48" t="str">
        <f>+"Line "&amp;A52</f>
        <v>Line 32</v>
      </c>
    </row>
    <row r="9" spans="1:8" x14ac:dyDescent="0.3">
      <c r="A9" s="7">
        <f t="shared" si="0"/>
        <v>4</v>
      </c>
      <c r="B9" t="s">
        <v>7</v>
      </c>
      <c r="C9" s="48">
        <f>+H70</f>
        <v>2481031.9537460003</v>
      </c>
      <c r="D9" s="48" t="str">
        <f>+"Line "&amp;A70</f>
        <v>Line 44</v>
      </c>
    </row>
    <row r="10" spans="1:8" x14ac:dyDescent="0.3">
      <c r="A10" s="7">
        <f t="shared" si="0"/>
        <v>5</v>
      </c>
      <c r="B10" t="s">
        <v>8</v>
      </c>
      <c r="C10" s="48">
        <f>+H88</f>
        <v>3672342.0423285253</v>
      </c>
      <c r="D10" s="48" t="str">
        <f>+"Line "&amp;A88</f>
        <v>Line 56</v>
      </c>
    </row>
    <row r="11" spans="1:8" x14ac:dyDescent="0.3">
      <c r="A11" s="7">
        <f t="shared" si="0"/>
        <v>6</v>
      </c>
      <c r="B11" t="s">
        <v>9</v>
      </c>
      <c r="C11" s="48">
        <f>+H107</f>
        <v>2549971.8451639363</v>
      </c>
      <c r="D11" s="48" t="str">
        <f>+"Line "&amp;A107</f>
        <v>Line 69</v>
      </c>
    </row>
    <row r="12" spans="1:8" x14ac:dyDescent="0.3">
      <c r="A12" s="7">
        <f t="shared" si="0"/>
        <v>7</v>
      </c>
      <c r="B12" t="s">
        <v>10</v>
      </c>
      <c r="C12" s="48">
        <f>+I163</f>
        <v>398579.35999999993</v>
      </c>
      <c r="D12" s="48" t="str">
        <f>+"Line "&amp;A163</f>
        <v>Line 107</v>
      </c>
      <c r="F12" s="56"/>
    </row>
    <row r="13" spans="1:8" x14ac:dyDescent="0.3">
      <c r="A13" s="7">
        <f t="shared" si="0"/>
        <v>8</v>
      </c>
      <c r="B13" t="s">
        <v>11</v>
      </c>
      <c r="C13" s="57">
        <f>SUM(C7:C12)</f>
        <v>23120049.192719821</v>
      </c>
      <c r="E13" s="80">
        <f>C21+C45+C59+C77+C96+C165</f>
        <v>23119835.650000002</v>
      </c>
      <c r="F13" s="81">
        <v>1.1035622739083899</v>
      </c>
    </row>
    <row r="14" spans="1:8" x14ac:dyDescent="0.3">
      <c r="A14" s="7">
        <f t="shared" si="0"/>
        <v>9</v>
      </c>
      <c r="B14" t="s">
        <v>12</v>
      </c>
      <c r="C14" s="48">
        <f>+C6-C13</f>
        <v>-116114.19271982089</v>
      </c>
    </row>
    <row r="15" spans="1:8" x14ac:dyDescent="0.3">
      <c r="A15" s="7"/>
    </row>
    <row r="16" spans="1:8" x14ac:dyDescent="0.3">
      <c r="A16" s="7"/>
      <c r="B16" s="8" t="s">
        <v>5</v>
      </c>
    </row>
    <row r="17" spans="1:9" x14ac:dyDescent="0.3">
      <c r="A17" s="7">
        <f>+A14+A16</f>
        <v>9</v>
      </c>
      <c r="B17" t="s">
        <v>13</v>
      </c>
      <c r="C17" s="63">
        <v>299256</v>
      </c>
      <c r="D17" s="48" t="s">
        <v>17</v>
      </c>
    </row>
    <row r="18" spans="1:9" x14ac:dyDescent="0.3">
      <c r="A18" s="7">
        <f>+A17+1</f>
        <v>10</v>
      </c>
      <c r="B18" t="s">
        <v>14</v>
      </c>
      <c r="C18" s="63">
        <v>13990062</v>
      </c>
      <c r="D18" s="48" t="s">
        <v>18</v>
      </c>
    </row>
    <row r="19" spans="1:9" x14ac:dyDescent="0.3">
      <c r="A19" s="7">
        <f>+A18+1</f>
        <v>11</v>
      </c>
      <c r="B19" t="s">
        <v>11</v>
      </c>
      <c r="C19" s="57">
        <f>+C18+C17</f>
        <v>14289318</v>
      </c>
    </row>
    <row r="20" spans="1:9" x14ac:dyDescent="0.3">
      <c r="A20" s="7">
        <f>+A19+1</f>
        <v>12</v>
      </c>
      <c r="B20" t="s">
        <v>15</v>
      </c>
      <c r="C20" s="6">
        <v>0.95</v>
      </c>
    </row>
    <row r="21" spans="1:9" ht="16.5" customHeight="1" x14ac:dyDescent="0.3">
      <c r="A21" s="7">
        <f>+A20+1</f>
        <v>13</v>
      </c>
      <c r="B21" t="s">
        <v>16</v>
      </c>
      <c r="C21" s="18">
        <f>C19*C20</f>
        <v>13574852.1</v>
      </c>
      <c r="D21" s="48" t="str">
        <f>+"Line "&amp;A19&amp;" x Line "&amp;A20</f>
        <v>Line 11 x Line 12</v>
      </c>
    </row>
    <row r="22" spans="1:9" ht="16.5" customHeight="1" x14ac:dyDescent="0.3">
      <c r="A22" s="7"/>
    </row>
    <row r="23" spans="1:9" x14ac:dyDescent="0.3">
      <c r="A23" s="7"/>
      <c r="C23" s="12"/>
      <c r="D23" s="13" t="s">
        <v>22</v>
      </c>
      <c r="E23" s="13"/>
      <c r="F23" s="2"/>
      <c r="G23" s="13" t="s">
        <v>29</v>
      </c>
      <c r="H23" s="13"/>
    </row>
    <row r="24" spans="1:9" ht="12" customHeight="1" x14ac:dyDescent="0.3">
      <c r="A24" s="7"/>
      <c r="C24" s="14" t="s">
        <v>19</v>
      </c>
      <c r="D24" s="14" t="s">
        <v>20</v>
      </c>
      <c r="E24" s="15" t="s">
        <v>21</v>
      </c>
      <c r="F24" s="7"/>
      <c r="G24" s="14" t="s">
        <v>20</v>
      </c>
      <c r="H24" s="15" t="s">
        <v>21</v>
      </c>
    </row>
    <row r="25" spans="1:9" x14ac:dyDescent="0.3">
      <c r="A25" s="7"/>
      <c r="B25" t="s">
        <v>26</v>
      </c>
    </row>
    <row r="26" spans="1:9" x14ac:dyDescent="0.3">
      <c r="A26" s="7">
        <f>+A21+1</f>
        <v>14</v>
      </c>
      <c r="B26" s="9" t="s">
        <v>24</v>
      </c>
      <c r="C26" s="63">
        <f>414*12</f>
        <v>4968</v>
      </c>
      <c r="D26" s="1">
        <v>7.15</v>
      </c>
      <c r="E26" s="3">
        <f>+$C26*D26</f>
        <v>35521.200000000004</v>
      </c>
      <c r="F26" s="4"/>
      <c r="G26" s="59">
        <v>9.1999999999999993</v>
      </c>
      <c r="H26" s="3">
        <f>+$C26*G26</f>
        <v>45705.599999999999</v>
      </c>
      <c r="I26" s="83">
        <f>G26/D26</f>
        <v>1.2867132867132864</v>
      </c>
    </row>
    <row r="27" spans="1:9" x14ac:dyDescent="0.3">
      <c r="A27" s="7">
        <f>+A26+1</f>
        <v>15</v>
      </c>
      <c r="B27" t="s">
        <v>23</v>
      </c>
      <c r="C27" s="63">
        <f>8776*12</f>
        <v>105312</v>
      </c>
      <c r="D27" s="1">
        <v>7.15</v>
      </c>
      <c r="E27" s="3">
        <f>+$C27*D27</f>
        <v>752980.8</v>
      </c>
      <c r="G27">
        <f>+G26</f>
        <v>9.1999999999999993</v>
      </c>
      <c r="H27" s="3">
        <f>+$C27*G27</f>
        <v>968870.39999999991</v>
      </c>
      <c r="I27" s="83">
        <f>G27/D27</f>
        <v>1.2867132867132864</v>
      </c>
    </row>
    <row r="28" spans="1:9" x14ac:dyDescent="0.3">
      <c r="A28" s="7">
        <f>+A27+1</f>
        <v>16</v>
      </c>
      <c r="C28" s="5">
        <f>SUM(C26:C27)</f>
        <v>110280</v>
      </c>
      <c r="E28" s="5">
        <f>SUM(E26:E27)</f>
        <v>788502</v>
      </c>
      <c r="H28" s="5">
        <f>SUM(H26:H27)</f>
        <v>1014575.9999999999</v>
      </c>
    </row>
    <row r="29" spans="1:9" x14ac:dyDescent="0.3">
      <c r="A29" s="7"/>
      <c r="B29" t="s">
        <v>27</v>
      </c>
    </row>
    <row r="30" spans="1:9" x14ac:dyDescent="0.3">
      <c r="A30" s="7">
        <f>+A28+1</f>
        <v>17</v>
      </c>
      <c r="B30" s="9" t="s">
        <v>24</v>
      </c>
      <c r="C30" s="63">
        <v>2258000</v>
      </c>
      <c r="D30" s="10">
        <v>3.28</v>
      </c>
      <c r="E30" s="11">
        <f>+$C30*D30/100</f>
        <v>74062.399999999994</v>
      </c>
      <c r="F30" s="4"/>
      <c r="G30" s="60">
        <f>ROUND(D30*1.288,3)</f>
        <v>4.2249999999999996</v>
      </c>
      <c r="H30" s="11">
        <f>+$C30*G30/100</f>
        <v>95400.5</v>
      </c>
      <c r="I30" s="83">
        <f>G30/D30</f>
        <v>1.288109756097561</v>
      </c>
    </row>
    <row r="31" spans="1:9" x14ac:dyDescent="0.3">
      <c r="A31" s="7">
        <f>+A30+1</f>
        <v>18</v>
      </c>
      <c r="B31" t="s">
        <v>23</v>
      </c>
      <c r="C31" s="63">
        <v>297866000</v>
      </c>
      <c r="D31" s="10">
        <v>3.28</v>
      </c>
      <c r="E31" s="11">
        <f>+$C31*D31/100</f>
        <v>9770004.8000000007</v>
      </c>
      <c r="G31" s="58">
        <f>+G30</f>
        <v>4.2249999999999996</v>
      </c>
      <c r="H31" s="11">
        <f>+$C31*G31/100</f>
        <v>12584838.5</v>
      </c>
      <c r="I31" s="83">
        <f>G31/D31</f>
        <v>1.288109756097561</v>
      </c>
    </row>
    <row r="32" spans="1:9" x14ac:dyDescent="0.3">
      <c r="A32" s="7">
        <f>+A31+1</f>
        <v>19</v>
      </c>
      <c r="C32" s="5">
        <f>SUM(C30:C31)</f>
        <v>300124000</v>
      </c>
      <c r="E32" s="5">
        <f>SUM(E30:E31)</f>
        <v>9844067.2000000011</v>
      </c>
      <c r="H32" s="5">
        <f>SUM(H30:H31)</f>
        <v>12680239</v>
      </c>
    </row>
    <row r="33" spans="1:8" x14ac:dyDescent="0.3">
      <c r="A33" s="7"/>
      <c r="B33" t="s">
        <v>25</v>
      </c>
    </row>
    <row r="34" spans="1:8" x14ac:dyDescent="0.3">
      <c r="A34" s="7">
        <f>+A32+1</f>
        <v>20</v>
      </c>
      <c r="B34" s="9" t="s">
        <v>24</v>
      </c>
      <c r="E34" s="48">
        <f>-5079+1978</f>
        <v>-3101</v>
      </c>
      <c r="H34" s="2">
        <f>+(E34/(E26+E30)*(H26+H30))</f>
        <v>-3993.0246505864015</v>
      </c>
    </row>
    <row r="35" spans="1:8" x14ac:dyDescent="0.3">
      <c r="A35" s="7">
        <f>+A34+1</f>
        <v>21</v>
      </c>
      <c r="B35" t="s">
        <v>23</v>
      </c>
      <c r="E35" s="48">
        <f>-169038+79087</f>
        <v>-89951</v>
      </c>
      <c r="H35" s="2">
        <f>+(E35/(E27+E31)*(H27+H31))</f>
        <v>-115857.77227176857</v>
      </c>
    </row>
    <row r="36" spans="1:8" x14ac:dyDescent="0.3">
      <c r="A36" s="7">
        <f>+A35+1</f>
        <v>22</v>
      </c>
      <c r="E36" s="5">
        <f>SUM(E34:E35)</f>
        <v>-93052</v>
      </c>
      <c r="H36" s="5">
        <f>SUM(H34:H35)</f>
        <v>-119850.79692235497</v>
      </c>
    </row>
    <row r="37" spans="1:8" ht="15" thickBot="1" x14ac:dyDescent="0.35">
      <c r="A37" s="7">
        <f>+A36+1</f>
        <v>23</v>
      </c>
      <c r="B37" t="s">
        <v>28</v>
      </c>
      <c r="E37" s="16">
        <f>+E28+E32+E36</f>
        <v>10539517.200000001</v>
      </c>
      <c r="F37" s="51" t="s">
        <v>72</v>
      </c>
      <c r="H37" s="16">
        <f>+H28+H32+H36</f>
        <v>13574964.203077644</v>
      </c>
    </row>
    <row r="38" spans="1:8" ht="15" thickTop="1" x14ac:dyDescent="0.3">
      <c r="A38" s="7">
        <f>+A37+1</f>
        <v>24</v>
      </c>
      <c r="B38" t="s">
        <v>31</v>
      </c>
      <c r="H38" s="3">
        <f>+H37-C21</f>
        <v>112.10307764448225</v>
      </c>
    </row>
    <row r="39" spans="1:8" x14ac:dyDescent="0.3">
      <c r="A39" s="7">
        <f>+A38+1</f>
        <v>25</v>
      </c>
      <c r="B39" t="s">
        <v>30</v>
      </c>
      <c r="E39" s="82">
        <f>+(C21/E37)-1</f>
        <v>0.28799563038807863</v>
      </c>
      <c r="H39" s="6">
        <f>+(H37/E37)-1</f>
        <v>0.28800626684091779</v>
      </c>
    </row>
    <row r="42" spans="1:8" x14ac:dyDescent="0.3">
      <c r="A42" s="7"/>
      <c r="B42" s="8" t="s">
        <v>34</v>
      </c>
    </row>
    <row r="43" spans="1:8" x14ac:dyDescent="0.3">
      <c r="A43" s="7">
        <f>+A39+1</f>
        <v>26</v>
      </c>
      <c r="B43" t="s">
        <v>32</v>
      </c>
      <c r="C43" s="64">
        <v>422054</v>
      </c>
      <c r="D43" s="48" t="s">
        <v>33</v>
      </c>
    </row>
    <row r="44" spans="1:8" x14ac:dyDescent="0.3">
      <c r="A44" s="7">
        <f>+A43+1</f>
        <v>27</v>
      </c>
      <c r="B44" t="s">
        <v>15</v>
      </c>
      <c r="C44" s="6">
        <v>1.05</v>
      </c>
    </row>
    <row r="45" spans="1:8" ht="16.5" customHeight="1" x14ac:dyDescent="0.3">
      <c r="A45" s="7">
        <f>+A44+1</f>
        <v>28</v>
      </c>
      <c r="B45" t="s">
        <v>16</v>
      </c>
      <c r="C45" s="2">
        <f>+C43*C44</f>
        <v>443156.7</v>
      </c>
    </row>
    <row r="46" spans="1:8" x14ac:dyDescent="0.3">
      <c r="A46" s="7"/>
      <c r="C46" s="12"/>
      <c r="D46" s="13" t="s">
        <v>22</v>
      </c>
      <c r="E46" s="13"/>
      <c r="F46" s="2"/>
      <c r="G46" s="13" t="s">
        <v>29</v>
      </c>
      <c r="H46" s="13"/>
    </row>
    <row r="47" spans="1:8" ht="12" customHeight="1" x14ac:dyDescent="0.3">
      <c r="A47" s="7"/>
      <c r="C47" s="14" t="s">
        <v>19</v>
      </c>
      <c r="D47" s="14" t="s">
        <v>20</v>
      </c>
      <c r="E47" s="15" t="s">
        <v>21</v>
      </c>
      <c r="F47" s="7"/>
      <c r="G47" s="14" t="s">
        <v>20</v>
      </c>
      <c r="H47" s="15" t="s">
        <v>21</v>
      </c>
    </row>
    <row r="48" spans="1:8" x14ac:dyDescent="0.3">
      <c r="A48" s="7"/>
    </row>
    <row r="49" spans="1:9" x14ac:dyDescent="0.3">
      <c r="A49" s="7">
        <f>+A45+1</f>
        <v>29</v>
      </c>
      <c r="B49" t="s">
        <v>26</v>
      </c>
      <c r="C49" s="63">
        <f>472*12</f>
        <v>5664</v>
      </c>
      <c r="D49" s="1">
        <v>10.45</v>
      </c>
      <c r="E49" s="3">
        <f>+$C49*D49</f>
        <v>59188.799999999996</v>
      </c>
      <c r="F49" s="4"/>
      <c r="G49" s="61">
        <v>13.4</v>
      </c>
      <c r="H49" s="3">
        <f>+$C49*G49</f>
        <v>75897.600000000006</v>
      </c>
      <c r="I49" s="83">
        <f>G49/D49</f>
        <v>1.2822966507177034</v>
      </c>
    </row>
    <row r="50" spans="1:9" x14ac:dyDescent="0.3">
      <c r="A50" s="7">
        <f>+A49+1</f>
        <v>30</v>
      </c>
      <c r="B50" t="s">
        <v>27</v>
      </c>
      <c r="C50" s="63">
        <v>5537410</v>
      </c>
      <c r="D50" s="10">
        <v>5.24</v>
      </c>
      <c r="E50" s="11">
        <f>+$C50*D50/100</f>
        <v>290160.28400000004</v>
      </c>
      <c r="F50" s="4"/>
      <c r="G50" s="65">
        <v>6.7210000000000001</v>
      </c>
      <c r="H50" s="11">
        <f>+$C50*G50/100</f>
        <v>372169.32610000001</v>
      </c>
      <c r="I50" s="83">
        <f>G50/D50</f>
        <v>1.2826335877862596</v>
      </c>
    </row>
    <row r="51" spans="1:9" x14ac:dyDescent="0.3">
      <c r="A51" s="7">
        <f>+A50+1</f>
        <v>31</v>
      </c>
      <c r="B51" t="s">
        <v>25</v>
      </c>
      <c r="E51" s="48">
        <f>-7437+3611</f>
        <v>-3826</v>
      </c>
      <c r="F51" s="17"/>
      <c r="H51" s="2">
        <f>+(E51/(E49+E50)*(H49+H50))</f>
        <v>-4907.1376962837548</v>
      </c>
    </row>
    <row r="52" spans="1:9" ht="15" thickBot="1" x14ac:dyDescent="0.35">
      <c r="A52" s="7">
        <f>+A51+1</f>
        <v>32</v>
      </c>
      <c r="B52" t="s">
        <v>28</v>
      </c>
      <c r="E52" s="16">
        <f>+E49+E50+E51</f>
        <v>345523.08400000003</v>
      </c>
      <c r="F52" s="52" t="s">
        <v>72</v>
      </c>
      <c r="H52" s="16">
        <f>+H49+H50+H51</f>
        <v>443159.78840371629</v>
      </c>
    </row>
    <row r="53" spans="1:9" ht="15" thickTop="1" x14ac:dyDescent="0.3">
      <c r="A53" s="7">
        <f>+A52+1</f>
        <v>33</v>
      </c>
      <c r="B53" t="s">
        <v>31</v>
      </c>
      <c r="H53" s="3">
        <f>+H52-C45</f>
        <v>3.0884037162759341</v>
      </c>
    </row>
    <row r="54" spans="1:9" x14ac:dyDescent="0.3">
      <c r="A54" s="7">
        <f>+A53+1</f>
        <v>34</v>
      </c>
      <c r="B54" t="s">
        <v>30</v>
      </c>
      <c r="E54" s="82">
        <f>+(C45/E52)-1</f>
        <v>0.28256756356110779</v>
      </c>
      <c r="H54" s="6">
        <f>+(H52/E52)-1</f>
        <v>0.28257650190375205</v>
      </c>
    </row>
    <row r="56" spans="1:9" x14ac:dyDescent="0.3">
      <c r="A56" s="7"/>
      <c r="B56" s="8" t="s">
        <v>35</v>
      </c>
    </row>
    <row r="57" spans="1:9" x14ac:dyDescent="0.3">
      <c r="A57" s="7">
        <f>+A53+1</f>
        <v>34</v>
      </c>
      <c r="B57" t="s">
        <v>32</v>
      </c>
      <c r="C57" s="64">
        <v>2248490</v>
      </c>
      <c r="D57" s="48" t="s">
        <v>68</v>
      </c>
    </row>
    <row r="58" spans="1:9" x14ac:dyDescent="0.3">
      <c r="A58" s="7">
        <f>+A57+1</f>
        <v>35</v>
      </c>
      <c r="B58" t="s">
        <v>15</v>
      </c>
      <c r="C58" s="6">
        <v>1.1035622739083899</v>
      </c>
    </row>
    <row r="59" spans="1:9" ht="16.5" customHeight="1" x14ac:dyDescent="0.3">
      <c r="A59" s="7">
        <f>+A58+1</f>
        <v>36</v>
      </c>
      <c r="B59" t="s">
        <v>16</v>
      </c>
      <c r="C59" s="2">
        <f>+C57*C58</f>
        <v>2481348.7372602755</v>
      </c>
    </row>
    <row r="61" spans="1:9" x14ac:dyDescent="0.3">
      <c r="C61" s="12"/>
      <c r="D61" s="13" t="s">
        <v>22</v>
      </c>
      <c r="E61" s="13"/>
      <c r="F61" s="2"/>
      <c r="G61" s="13" t="s">
        <v>29</v>
      </c>
      <c r="H61" s="13"/>
    </row>
    <row r="62" spans="1:9" x14ac:dyDescent="0.3">
      <c r="A62" s="7"/>
      <c r="B62" s="8"/>
      <c r="C62" s="14" t="s">
        <v>19</v>
      </c>
      <c r="D62" s="14" t="s">
        <v>20</v>
      </c>
      <c r="E62" s="15" t="s">
        <v>21</v>
      </c>
      <c r="F62" s="7"/>
      <c r="G62" s="14" t="s">
        <v>20</v>
      </c>
      <c r="H62" s="15" t="s">
        <v>21</v>
      </c>
    </row>
    <row r="63" spans="1:9" x14ac:dyDescent="0.3">
      <c r="A63">
        <f>+A59+1</f>
        <v>37</v>
      </c>
      <c r="B63" t="s">
        <v>36</v>
      </c>
      <c r="C63" s="49">
        <v>67498510</v>
      </c>
      <c r="D63" s="10">
        <v>2.4329999999999998</v>
      </c>
      <c r="E63" s="19">
        <f>+$C63*D63/100</f>
        <v>1642238.7482999999</v>
      </c>
      <c r="F63" s="20"/>
      <c r="G63" s="60">
        <v>2.89</v>
      </c>
      <c r="H63" s="19">
        <f>+$C63*G63/100</f>
        <v>1950706.939</v>
      </c>
      <c r="I63" s="83">
        <f>G63/D63</f>
        <v>1.1878339498561448</v>
      </c>
    </row>
    <row r="64" spans="1:9" x14ac:dyDescent="0.3">
      <c r="A64">
        <f>+A63+1</f>
        <v>38</v>
      </c>
      <c r="B64" t="s">
        <v>37</v>
      </c>
      <c r="C64" s="48">
        <v>207060</v>
      </c>
      <c r="D64" s="1">
        <v>2.2000000000000002</v>
      </c>
      <c r="E64" s="2">
        <f>+$C64*D64</f>
        <v>455532.00000000006</v>
      </c>
      <c r="G64" s="59">
        <v>2.6</v>
      </c>
      <c r="H64" s="2">
        <f>+$C64*G64</f>
        <v>538356</v>
      </c>
      <c r="I64" s="83">
        <f>G64/D64</f>
        <v>1.1818181818181817</v>
      </c>
    </row>
    <row r="65" spans="1:8" x14ac:dyDescent="0.3">
      <c r="A65">
        <f t="shared" ref="A65:A72" si="1">+A64+1</f>
        <v>39</v>
      </c>
      <c r="B65" t="s">
        <v>38</v>
      </c>
      <c r="C65" s="48">
        <v>90180</v>
      </c>
      <c r="D65" s="1">
        <v>6.8</v>
      </c>
      <c r="E65" s="19">
        <f>+$C65*D65/100</f>
        <v>6132.24</v>
      </c>
      <c r="G65" s="4">
        <f>+D65</f>
        <v>6.8</v>
      </c>
      <c r="H65" s="19">
        <f>+$C65*G65/100</f>
        <v>6132.24</v>
      </c>
    </row>
    <row r="66" spans="1:8" x14ac:dyDescent="0.3">
      <c r="A66">
        <f t="shared" si="1"/>
        <v>40</v>
      </c>
      <c r="B66" t="s">
        <v>42</v>
      </c>
      <c r="C66" s="48">
        <f>SUM('[2]Det Rev Production Curr Rates'!$E$232:$P$232)</f>
        <v>59</v>
      </c>
      <c r="D66" s="1">
        <v>20</v>
      </c>
      <c r="E66" s="2">
        <f>+$C66*D66</f>
        <v>1180</v>
      </c>
      <c r="G66" s="4">
        <f>+D66</f>
        <v>20</v>
      </c>
      <c r="H66" s="2">
        <f>+$C66*G66</f>
        <v>1180</v>
      </c>
    </row>
    <row r="67" spans="1:8" x14ac:dyDescent="0.3">
      <c r="A67">
        <f t="shared" si="1"/>
        <v>41</v>
      </c>
      <c r="B67" t="s">
        <v>39</v>
      </c>
      <c r="C67" s="48">
        <f>E67/D67</f>
        <v>5660.9523809523807</v>
      </c>
      <c r="D67" s="50">
        <v>1.05</v>
      </c>
      <c r="E67" s="49">
        <v>5944</v>
      </c>
      <c r="G67" s="4">
        <f>+D67</f>
        <v>1.05</v>
      </c>
      <c r="H67" s="2">
        <f>+$C67*G67</f>
        <v>5944</v>
      </c>
    </row>
    <row r="68" spans="1:8" x14ac:dyDescent="0.3">
      <c r="A68">
        <f t="shared" si="1"/>
        <v>42</v>
      </c>
      <c r="B68" t="s">
        <v>40</v>
      </c>
      <c r="C68" s="48">
        <f>E68/D68</f>
        <v>10116</v>
      </c>
      <c r="D68" s="18">
        <v>-0.25</v>
      </c>
      <c r="E68" s="2">
        <f>-2529</f>
        <v>-2529</v>
      </c>
      <c r="G68" s="4">
        <f>+D68</f>
        <v>-0.25</v>
      </c>
      <c r="H68" s="2">
        <f>+$C68*G68</f>
        <v>-2529</v>
      </c>
    </row>
    <row r="69" spans="1:8" x14ac:dyDescent="0.3">
      <c r="A69">
        <f t="shared" si="1"/>
        <v>43</v>
      </c>
      <c r="B69" t="s">
        <v>25</v>
      </c>
      <c r="E69" s="48">
        <f>-31001+15179</f>
        <v>-15822</v>
      </c>
      <c r="H69" s="1">
        <f>+(E69/(SUM(E63:E68)))*SUM(H63:H68)</f>
        <v>-18758.225254000354</v>
      </c>
    </row>
    <row r="70" spans="1:8" ht="15" thickBot="1" x14ac:dyDescent="0.35">
      <c r="A70">
        <f t="shared" si="1"/>
        <v>44</v>
      </c>
      <c r="B70" t="s">
        <v>41</v>
      </c>
      <c r="E70" s="21">
        <f>SUM(E63:E69)</f>
        <v>2092675.9883000003</v>
      </c>
      <c r="F70" s="52" t="s">
        <v>72</v>
      </c>
      <c r="H70" s="21">
        <f>SUM(H63:H69)</f>
        <v>2481031.9537460003</v>
      </c>
    </row>
    <row r="71" spans="1:8" ht="15" thickTop="1" x14ac:dyDescent="0.3">
      <c r="A71">
        <f t="shared" si="1"/>
        <v>45</v>
      </c>
      <c r="B71" t="s">
        <v>31</v>
      </c>
      <c r="H71" s="3">
        <f>+H70-C59</f>
        <v>-316.78351427521557</v>
      </c>
    </row>
    <row r="72" spans="1:8" x14ac:dyDescent="0.3">
      <c r="A72">
        <f t="shared" si="1"/>
        <v>46</v>
      </c>
      <c r="B72" t="s">
        <v>30</v>
      </c>
      <c r="E72" s="86">
        <f>+(C59/E70)-1</f>
        <v>0.18573001799290312</v>
      </c>
      <c r="H72" s="6">
        <f>+(H70/E70)-1</f>
        <v>0.18557864075340369</v>
      </c>
    </row>
    <row r="73" spans="1:8" x14ac:dyDescent="0.3">
      <c r="E73" t="s">
        <v>75</v>
      </c>
    </row>
    <row r="74" spans="1:8" x14ac:dyDescent="0.3">
      <c r="A74" s="7"/>
      <c r="B74" s="8" t="s">
        <v>44</v>
      </c>
    </row>
    <row r="75" spans="1:8" x14ac:dyDescent="0.3">
      <c r="A75" s="7">
        <f>+A71+1</f>
        <v>46</v>
      </c>
      <c r="B75" t="s">
        <v>32</v>
      </c>
      <c r="C75" s="64">
        <v>3327513</v>
      </c>
      <c r="D75" s="48" t="s">
        <v>69</v>
      </c>
    </row>
    <row r="76" spans="1:8" x14ac:dyDescent="0.3">
      <c r="A76" s="7">
        <f>+A75+1</f>
        <v>47</v>
      </c>
      <c r="B76" t="s">
        <v>15</v>
      </c>
      <c r="C76" s="6">
        <v>1.1035622739083899</v>
      </c>
    </row>
    <row r="77" spans="1:8" ht="16.5" customHeight="1" x14ac:dyDescent="0.3">
      <c r="A77" s="7">
        <f>+A76+1</f>
        <v>48</v>
      </c>
      <c r="B77" t="s">
        <v>16</v>
      </c>
      <c r="C77" s="2">
        <f>+C75*C76</f>
        <v>3672117.812739728</v>
      </c>
      <c r="F77" s="7"/>
    </row>
    <row r="79" spans="1:8" x14ac:dyDescent="0.3">
      <c r="C79" s="12"/>
      <c r="D79" s="13" t="s">
        <v>22</v>
      </c>
      <c r="E79" s="13"/>
      <c r="F79" s="2"/>
      <c r="G79" s="13" t="s">
        <v>29</v>
      </c>
      <c r="H79" s="13"/>
    </row>
    <row r="80" spans="1:8" x14ac:dyDescent="0.3">
      <c r="A80" s="45"/>
      <c r="B80" s="8"/>
      <c r="C80" s="14" t="s">
        <v>19</v>
      </c>
      <c r="D80" s="14" t="s">
        <v>20</v>
      </c>
      <c r="E80" s="15" t="s">
        <v>21</v>
      </c>
      <c r="G80" s="14" t="s">
        <v>20</v>
      </c>
      <c r="H80" s="15" t="s">
        <v>21</v>
      </c>
    </row>
    <row r="81" spans="1:8" x14ac:dyDescent="0.3">
      <c r="A81" s="45">
        <f>+A77+1</f>
        <v>49</v>
      </c>
      <c r="B81" t="s">
        <v>36</v>
      </c>
      <c r="C81" s="48">
        <v>109912220</v>
      </c>
      <c r="D81" s="10">
        <v>2.1030000000000002</v>
      </c>
      <c r="E81" s="19">
        <f>+$C81*D81/100</f>
        <v>2311453.9866000004</v>
      </c>
      <c r="F81" s="20"/>
      <c r="G81" s="60">
        <v>2.617</v>
      </c>
      <c r="H81" s="19">
        <f>+$C81*G81/100</f>
        <v>2876402.7974</v>
      </c>
    </row>
    <row r="82" spans="1:8" x14ac:dyDescent="0.3">
      <c r="A82" s="45">
        <f>+A81+1</f>
        <v>50</v>
      </c>
      <c r="B82" t="s">
        <v>37</v>
      </c>
      <c r="C82" s="48">
        <v>327670</v>
      </c>
      <c r="D82" s="1">
        <v>2</v>
      </c>
      <c r="E82" s="2">
        <f>+$C82*D82</f>
        <v>655340</v>
      </c>
      <c r="G82" s="59">
        <v>2.5</v>
      </c>
      <c r="H82" s="2">
        <f>+$C82*G82</f>
        <v>819175</v>
      </c>
    </row>
    <row r="83" spans="1:8" x14ac:dyDescent="0.3">
      <c r="A83" s="45">
        <f t="shared" ref="A83:A90" si="2">+A82+1</f>
        <v>51</v>
      </c>
      <c r="B83" t="s">
        <v>38</v>
      </c>
      <c r="C83" s="48">
        <v>62200</v>
      </c>
      <c r="D83" s="1">
        <v>6.8</v>
      </c>
      <c r="E83" s="19">
        <f>+$C83*D83/100</f>
        <v>4229.6000000000004</v>
      </c>
      <c r="G83" s="4">
        <f>+D83</f>
        <v>6.8</v>
      </c>
      <c r="H83" s="19">
        <f>+$C83*G83/100</f>
        <v>4229.6000000000004</v>
      </c>
    </row>
    <row r="84" spans="1:8" x14ac:dyDescent="0.3">
      <c r="A84" s="45">
        <f t="shared" si="2"/>
        <v>52</v>
      </c>
      <c r="B84" t="s">
        <v>42</v>
      </c>
      <c r="C84" s="47"/>
      <c r="D84" s="1"/>
      <c r="E84" s="2">
        <f>+$C84*D84</f>
        <v>0</v>
      </c>
      <c r="G84" s="4">
        <f>+D84</f>
        <v>0</v>
      </c>
      <c r="H84" s="2">
        <f>+$C84*G84</f>
        <v>0</v>
      </c>
    </row>
    <row r="85" spans="1:8" x14ac:dyDescent="0.3">
      <c r="A85" s="45">
        <f t="shared" si="2"/>
        <v>53</v>
      </c>
      <c r="B85" t="s">
        <v>43</v>
      </c>
      <c r="C85" s="48">
        <f>E85/D85</f>
        <v>11482.857142857143</v>
      </c>
      <c r="D85" s="1">
        <v>1.05</v>
      </c>
      <c r="E85" s="2">
        <v>12057</v>
      </c>
      <c r="G85" s="4">
        <f>+D85</f>
        <v>1.05</v>
      </c>
      <c r="H85" s="2">
        <f>+$C85*G85</f>
        <v>12057</v>
      </c>
    </row>
    <row r="86" spans="1:8" x14ac:dyDescent="0.3">
      <c r="A86" s="45">
        <f t="shared" si="2"/>
        <v>54</v>
      </c>
      <c r="B86" t="s">
        <v>40</v>
      </c>
      <c r="C86" s="48">
        <f>E86/D86</f>
        <v>50800</v>
      </c>
      <c r="D86" s="18">
        <v>-0.25</v>
      </c>
      <c r="E86" s="2">
        <v>-12700</v>
      </c>
      <c r="G86" s="4">
        <f>+D86</f>
        <v>-0.25</v>
      </c>
      <c r="H86" s="2">
        <f>+$C86*G86</f>
        <v>-12700</v>
      </c>
    </row>
    <row r="87" spans="1:8" x14ac:dyDescent="0.3">
      <c r="A87" s="45">
        <f t="shared" si="2"/>
        <v>55</v>
      </c>
      <c r="B87" t="s">
        <v>25</v>
      </c>
      <c r="E87" s="48">
        <f>-44822+23284</f>
        <v>-21538</v>
      </c>
      <c r="H87" s="1">
        <f>+(E87/(SUM(E81:E86)))*SUM(H81:H86)</f>
        <v>-26822.355071474933</v>
      </c>
    </row>
    <row r="88" spans="1:8" ht="15" thickBot="1" x14ac:dyDescent="0.35">
      <c r="A88" s="45">
        <f t="shared" si="2"/>
        <v>56</v>
      </c>
      <c r="B88" t="s">
        <v>41</v>
      </c>
      <c r="E88" s="21">
        <f>SUM(E81:E87)</f>
        <v>2948842.5866000005</v>
      </c>
      <c r="F88" s="52" t="s">
        <v>72</v>
      </c>
      <c r="H88" s="21">
        <f>SUM(H81:H87)</f>
        <v>3672342.0423285253</v>
      </c>
    </row>
    <row r="89" spans="1:8" ht="15" thickTop="1" x14ac:dyDescent="0.3">
      <c r="A89" s="45">
        <f t="shared" si="2"/>
        <v>57</v>
      </c>
      <c r="B89" t="s">
        <v>31</v>
      </c>
      <c r="H89" s="3">
        <f>+H88-C77</f>
        <v>224.22958879731596</v>
      </c>
    </row>
    <row r="90" spans="1:8" x14ac:dyDescent="0.3">
      <c r="A90" s="45">
        <f t="shared" si="2"/>
        <v>58</v>
      </c>
      <c r="B90" t="s">
        <v>30</v>
      </c>
      <c r="E90" s="22">
        <f>+(C77/E88)-1</f>
        <v>0.2452742745327956</v>
      </c>
      <c r="H90" s="6">
        <f>+(H88/E88)-1</f>
        <v>0.24535031439664468</v>
      </c>
    </row>
    <row r="91" spans="1:8" x14ac:dyDescent="0.3">
      <c r="A91" s="45"/>
    </row>
    <row r="92" spans="1:8" x14ac:dyDescent="0.3">
      <c r="A92" s="45"/>
    </row>
    <row r="93" spans="1:8" x14ac:dyDescent="0.3">
      <c r="A93" s="45"/>
      <c r="B93" s="8" t="s">
        <v>45</v>
      </c>
    </row>
    <row r="94" spans="1:8" x14ac:dyDescent="0.3">
      <c r="A94" s="45">
        <f>+A90+1</f>
        <v>59</v>
      </c>
      <c r="B94" t="s">
        <v>32</v>
      </c>
      <c r="C94" s="64">
        <v>2318013</v>
      </c>
      <c r="D94" s="48" t="s">
        <v>70</v>
      </c>
    </row>
    <row r="95" spans="1:8" x14ac:dyDescent="0.3">
      <c r="A95" s="45">
        <f>+A94+1</f>
        <v>60</v>
      </c>
      <c r="B95" t="s">
        <v>15</v>
      </c>
      <c r="C95" s="6">
        <v>1.1000000000000001</v>
      </c>
      <c r="H95" s="4"/>
    </row>
    <row r="96" spans="1:8" ht="16.5" customHeight="1" x14ac:dyDescent="0.3">
      <c r="A96" s="45">
        <f>+A95+1</f>
        <v>61</v>
      </c>
      <c r="B96" t="s">
        <v>16</v>
      </c>
      <c r="C96" s="2">
        <f>+C94*C95</f>
        <v>2549814.3000000003</v>
      </c>
    </row>
    <row r="97" spans="1:9" x14ac:dyDescent="0.3">
      <c r="A97" s="45"/>
    </row>
    <row r="98" spans="1:9" x14ac:dyDescent="0.3">
      <c r="A98" s="45"/>
      <c r="C98" s="12"/>
      <c r="D98" s="13" t="s">
        <v>22</v>
      </c>
      <c r="E98" s="13"/>
      <c r="F98" s="2"/>
      <c r="G98" s="87" t="s">
        <v>29</v>
      </c>
      <c r="H98" s="87"/>
    </row>
    <row r="99" spans="1:9" x14ac:dyDescent="0.3">
      <c r="A99" s="45"/>
      <c r="B99" s="8"/>
      <c r="C99" s="14" t="s">
        <v>19</v>
      </c>
      <c r="D99" s="14" t="s">
        <v>20</v>
      </c>
      <c r="E99" s="15" t="s">
        <v>21</v>
      </c>
      <c r="F99" s="7"/>
      <c r="G99" s="88" t="s">
        <v>20</v>
      </c>
      <c r="H99" s="89" t="s">
        <v>21</v>
      </c>
    </row>
    <row r="100" spans="1:9" x14ac:dyDescent="0.3">
      <c r="A100" s="45">
        <f>+A96+1</f>
        <v>62</v>
      </c>
      <c r="B100" t="s">
        <v>36</v>
      </c>
      <c r="C100" s="49">
        <f>79753000-21911000+45450000</f>
        <v>103292000</v>
      </c>
      <c r="D100" s="10">
        <v>1.7330000000000001</v>
      </c>
      <c r="E100" s="19">
        <f>+$C100*D100/100</f>
        <v>1790050.36</v>
      </c>
      <c r="F100" s="20"/>
      <c r="G100" s="90">
        <v>2.137</v>
      </c>
      <c r="H100" s="91">
        <f>+$C100*G100/100</f>
        <v>2207350.04</v>
      </c>
    </row>
    <row r="101" spans="1:9" x14ac:dyDescent="0.3">
      <c r="A101" s="45">
        <f>+A100+1</f>
        <v>63</v>
      </c>
      <c r="B101" t="s">
        <v>37</v>
      </c>
      <c r="C101" s="48">
        <f>159808</f>
        <v>159808</v>
      </c>
      <c r="D101" s="1">
        <v>1.75</v>
      </c>
      <c r="E101" s="2">
        <f>+$C101*D101</f>
        <v>279664</v>
      </c>
      <c r="F101" s="4"/>
      <c r="G101" s="92">
        <v>2.4</v>
      </c>
      <c r="H101" s="93">
        <f>+$C101*G101</f>
        <v>383539.20000000001</v>
      </c>
    </row>
    <row r="102" spans="1:9" x14ac:dyDescent="0.3">
      <c r="A102" s="45">
        <f t="shared" ref="A102:A109" si="3">+A101+1</f>
        <v>64</v>
      </c>
      <c r="B102" t="s">
        <v>38</v>
      </c>
      <c r="C102" s="84"/>
      <c r="D102" s="1">
        <v>6.8</v>
      </c>
      <c r="E102" s="19">
        <f>+$C102*D102/100</f>
        <v>0</v>
      </c>
      <c r="G102" s="94">
        <f>+D102</f>
        <v>6.8</v>
      </c>
      <c r="H102" s="91">
        <f>+$C102*G102/100</f>
        <v>0</v>
      </c>
    </row>
    <row r="103" spans="1:9" s="77" customFormat="1" x14ac:dyDescent="0.3">
      <c r="A103" s="76">
        <f t="shared" si="3"/>
        <v>65</v>
      </c>
      <c r="B103" s="77" t="s">
        <v>42</v>
      </c>
      <c r="C103" s="85"/>
      <c r="D103" s="78"/>
      <c r="E103" s="79">
        <f>+$C103*D103</f>
        <v>0</v>
      </c>
      <c r="G103" s="94">
        <f>+D103</f>
        <v>0</v>
      </c>
      <c r="H103" s="93">
        <f>+$C103*G103</f>
        <v>0</v>
      </c>
      <c r="I103" s="55"/>
    </row>
    <row r="104" spans="1:9" x14ac:dyDescent="0.3">
      <c r="A104" s="45">
        <f t="shared" si="3"/>
        <v>66</v>
      </c>
      <c r="B104" t="s">
        <v>43</v>
      </c>
      <c r="C104" s="47"/>
      <c r="D104" s="1">
        <v>1.05</v>
      </c>
      <c r="E104" s="2">
        <f>+$C104*D104</f>
        <v>0</v>
      </c>
      <c r="G104" s="94">
        <f>+D104</f>
        <v>1.05</v>
      </c>
      <c r="H104" s="93">
        <f>+$C104*G104</f>
        <v>0</v>
      </c>
    </row>
    <row r="105" spans="1:9" x14ac:dyDescent="0.3">
      <c r="A105" s="45">
        <f t="shared" si="3"/>
        <v>67</v>
      </c>
      <c r="B105" t="s">
        <v>40</v>
      </c>
      <c r="C105" s="48">
        <f>E105/D105</f>
        <v>128312</v>
      </c>
      <c r="D105" s="18">
        <v>-0.25</v>
      </c>
      <c r="E105" s="2">
        <v>-32078</v>
      </c>
      <c r="G105" s="94">
        <f>+D105</f>
        <v>-0.25</v>
      </c>
      <c r="H105" s="93">
        <f>+$C105*G105</f>
        <v>-32078</v>
      </c>
    </row>
    <row r="106" spans="1:9" x14ac:dyDescent="0.3">
      <c r="A106" s="45">
        <f t="shared" si="3"/>
        <v>68</v>
      </c>
      <c r="B106" t="s">
        <v>25</v>
      </c>
      <c r="E106" s="48">
        <f>-17082+10043</f>
        <v>-7039</v>
      </c>
      <c r="G106" s="95"/>
      <c r="H106" s="96">
        <f>+(E106/(SUM(E100:E105)))*SUM(H100:H105)</f>
        <v>-8839.3948360638788</v>
      </c>
    </row>
    <row r="107" spans="1:9" ht="15" thickBot="1" x14ac:dyDescent="0.35">
      <c r="A107" s="45">
        <f t="shared" si="3"/>
        <v>69</v>
      </c>
      <c r="B107" t="s">
        <v>41</v>
      </c>
      <c r="E107" s="21">
        <f>SUM(E100:E106)</f>
        <v>2030597.36</v>
      </c>
      <c r="F107" s="55" t="s">
        <v>72</v>
      </c>
      <c r="G107" s="95"/>
      <c r="H107" s="97">
        <f>SUM(H100:H106)</f>
        <v>2549971.8451639363</v>
      </c>
    </row>
    <row r="108" spans="1:9" ht="15" thickTop="1" x14ac:dyDescent="0.3">
      <c r="A108" s="45">
        <f t="shared" si="3"/>
        <v>70</v>
      </c>
      <c r="B108" t="s">
        <v>31</v>
      </c>
      <c r="G108" s="95"/>
      <c r="H108" s="98">
        <f>+H107-C96</f>
        <v>157.54516393598169</v>
      </c>
    </row>
    <row r="109" spans="1:9" x14ac:dyDescent="0.3">
      <c r="A109" s="45">
        <f t="shared" si="3"/>
        <v>71</v>
      </c>
      <c r="B109" t="s">
        <v>30</v>
      </c>
      <c r="E109" s="94">
        <f>+(C96/E107)-1</f>
        <v>0.25569664879304299</v>
      </c>
      <c r="G109" s="95"/>
      <c r="H109" s="99">
        <f>+(H107/E107)-1</f>
        <v>0.25577423441737168</v>
      </c>
    </row>
    <row r="110" spans="1:9" x14ac:dyDescent="0.3">
      <c r="A110" s="45"/>
    </row>
    <row r="111" spans="1:9" x14ac:dyDescent="0.3">
      <c r="A111" s="45"/>
      <c r="B111" s="23" t="s">
        <v>10</v>
      </c>
      <c r="D111" s="2" t="s">
        <v>49</v>
      </c>
      <c r="E111" t="s">
        <v>50</v>
      </c>
      <c r="F111" t="s">
        <v>28</v>
      </c>
    </row>
    <row r="112" spans="1:9" x14ac:dyDescent="0.3">
      <c r="A112" s="45"/>
      <c r="B112" s="24" t="s">
        <v>74</v>
      </c>
      <c r="C112" s="24"/>
      <c r="D112" s="25"/>
      <c r="E112" s="25"/>
      <c r="F112" s="25" t="s">
        <v>56</v>
      </c>
      <c r="G112" s="25"/>
      <c r="H112" s="25"/>
      <c r="I112" s="66"/>
    </row>
    <row r="113" spans="1:9" x14ac:dyDescent="0.3">
      <c r="A113" s="45"/>
      <c r="C113"/>
      <c r="D113" t="s">
        <v>57</v>
      </c>
      <c r="E113" t="s">
        <v>58</v>
      </c>
      <c r="F113" t="s">
        <v>59</v>
      </c>
      <c r="G113" t="s">
        <v>60</v>
      </c>
      <c r="H113" t="s">
        <v>61</v>
      </c>
      <c r="I113" s="52" t="s">
        <v>62</v>
      </c>
    </row>
    <row r="114" spans="1:9" x14ac:dyDescent="0.3">
      <c r="A114" s="45">
        <f>+A109+1</f>
        <v>72</v>
      </c>
      <c r="B114" s="35" t="s">
        <v>46</v>
      </c>
      <c r="C114" s="35"/>
      <c r="D114" s="32">
        <v>904</v>
      </c>
      <c r="E114" s="33">
        <v>10</v>
      </c>
      <c r="F114" s="29">
        <f>D114*E114</f>
        <v>9040</v>
      </c>
      <c r="G114" s="29">
        <v>45</v>
      </c>
      <c r="H114" s="29">
        <f>D114*G114</f>
        <v>40680</v>
      </c>
      <c r="I114" s="67"/>
    </row>
    <row r="115" spans="1:9" x14ac:dyDescent="0.3">
      <c r="A115" s="45">
        <f t="shared" ref="A115:A121" si="4">+A114+1</f>
        <v>73</v>
      </c>
      <c r="B115" s="35" t="s">
        <v>51</v>
      </c>
      <c r="C115" s="35"/>
      <c r="D115" s="32">
        <v>0</v>
      </c>
      <c r="E115" s="33">
        <v>0</v>
      </c>
      <c r="F115" s="29">
        <f t="shared" ref="F115:F120" si="5">D115*E115</f>
        <v>0</v>
      </c>
      <c r="G115" s="29">
        <v>67</v>
      </c>
      <c r="H115" s="29">
        <f t="shared" ref="H115:H120" si="6">D115*G115</f>
        <v>0</v>
      </c>
      <c r="I115" s="67"/>
    </row>
    <row r="116" spans="1:9" x14ac:dyDescent="0.3">
      <c r="A116" s="45">
        <f t="shared" si="4"/>
        <v>74</v>
      </c>
      <c r="B116" s="35" t="s">
        <v>52</v>
      </c>
      <c r="C116" s="35"/>
      <c r="D116" s="32">
        <v>0</v>
      </c>
      <c r="E116" s="33">
        <v>0</v>
      </c>
      <c r="F116" s="29">
        <f t="shared" si="5"/>
        <v>0</v>
      </c>
      <c r="G116" s="29">
        <v>99</v>
      </c>
      <c r="H116" s="29">
        <f t="shared" si="6"/>
        <v>0</v>
      </c>
      <c r="I116" s="67"/>
    </row>
    <row r="117" spans="1:9" x14ac:dyDescent="0.3">
      <c r="A117" s="45">
        <f t="shared" si="4"/>
        <v>75</v>
      </c>
      <c r="B117" s="35" t="s">
        <v>53</v>
      </c>
      <c r="C117" s="35"/>
      <c r="D117" s="32">
        <v>12</v>
      </c>
      <c r="E117" s="33">
        <v>23</v>
      </c>
      <c r="F117" s="29">
        <f t="shared" si="5"/>
        <v>276</v>
      </c>
      <c r="G117" s="29">
        <v>166</v>
      </c>
      <c r="H117" s="29">
        <f t="shared" si="6"/>
        <v>1992</v>
      </c>
      <c r="I117" s="67"/>
    </row>
    <row r="118" spans="1:9" x14ac:dyDescent="0.3">
      <c r="A118" s="45">
        <f t="shared" si="4"/>
        <v>76</v>
      </c>
      <c r="B118" s="35" t="s">
        <v>47</v>
      </c>
      <c r="C118" s="35"/>
      <c r="D118" s="32">
        <v>339</v>
      </c>
      <c r="E118" s="33">
        <v>13.5</v>
      </c>
      <c r="F118" s="29">
        <f t="shared" si="5"/>
        <v>4576.5</v>
      </c>
      <c r="G118" s="29">
        <v>99</v>
      </c>
      <c r="H118" s="29">
        <f t="shared" si="6"/>
        <v>33561</v>
      </c>
      <c r="I118" s="67"/>
    </row>
    <row r="119" spans="1:9" x14ac:dyDescent="0.3">
      <c r="A119" s="45">
        <f t="shared" si="4"/>
        <v>77</v>
      </c>
      <c r="B119" s="35" t="s">
        <v>54</v>
      </c>
      <c r="C119" s="35"/>
      <c r="D119" s="32">
        <v>0</v>
      </c>
      <c r="E119" s="33">
        <v>0</v>
      </c>
      <c r="F119" s="29">
        <f t="shared" si="5"/>
        <v>0</v>
      </c>
      <c r="G119" s="29">
        <v>166</v>
      </c>
      <c r="H119" s="29">
        <f t="shared" si="6"/>
        <v>0</v>
      </c>
      <c r="I119" s="67"/>
    </row>
    <row r="120" spans="1:9" x14ac:dyDescent="0.3">
      <c r="A120" s="45">
        <f t="shared" si="4"/>
        <v>78</v>
      </c>
      <c r="B120" s="36" t="s">
        <v>48</v>
      </c>
      <c r="C120" s="36"/>
      <c r="D120" s="32">
        <v>350</v>
      </c>
      <c r="E120" s="33">
        <v>3.4</v>
      </c>
      <c r="F120" s="30">
        <f t="shared" si="5"/>
        <v>1190</v>
      </c>
      <c r="G120" s="30">
        <v>0</v>
      </c>
      <c r="H120" s="30">
        <f t="shared" si="6"/>
        <v>0</v>
      </c>
      <c r="I120" s="68"/>
    </row>
    <row r="121" spans="1:9" x14ac:dyDescent="0.3">
      <c r="A121" s="45">
        <f t="shared" si="4"/>
        <v>79</v>
      </c>
      <c r="B121" s="35"/>
      <c r="C121" s="35"/>
      <c r="D121" s="31">
        <f>SUM(D114:D120)</f>
        <v>1605</v>
      </c>
      <c r="F121" s="28">
        <f>SUM(F114:F120)</f>
        <v>15082.5</v>
      </c>
      <c r="G121" s="29"/>
      <c r="H121" s="28">
        <f>SUM(H114:H120)</f>
        <v>76233</v>
      </c>
      <c r="I121" s="69">
        <f>H121*12/1000</f>
        <v>914.79600000000005</v>
      </c>
    </row>
    <row r="122" spans="1:9" x14ac:dyDescent="0.3">
      <c r="A122" s="45"/>
      <c r="B122" s="35"/>
      <c r="C122" s="35"/>
      <c r="D122" s="26"/>
      <c r="F122" s="29"/>
      <c r="G122" s="29"/>
      <c r="H122" s="29"/>
      <c r="I122" s="67"/>
    </row>
    <row r="123" spans="1:9" x14ac:dyDescent="0.3">
      <c r="A123" s="45"/>
      <c r="B123" s="35"/>
      <c r="C123" s="35"/>
      <c r="D123" s="31"/>
      <c r="F123" s="29"/>
      <c r="G123" s="29"/>
      <c r="H123" s="29"/>
      <c r="I123" s="67"/>
    </row>
    <row r="124" spans="1:9" x14ac:dyDescent="0.3">
      <c r="A124" s="45">
        <f>+A121+1</f>
        <v>80</v>
      </c>
      <c r="B124" t="s">
        <v>55</v>
      </c>
      <c r="C124" s="53">
        <v>931</v>
      </c>
      <c r="D124"/>
    </row>
    <row r="125" spans="1:9" x14ac:dyDescent="0.3">
      <c r="A125" s="45">
        <f>+A124+1</f>
        <v>81</v>
      </c>
      <c r="B125" s="37" t="s">
        <v>63</v>
      </c>
      <c r="C125" s="26"/>
      <c r="D125" s="4">
        <f>H125/G125</f>
        <v>30.007407407407314</v>
      </c>
      <c r="E125" s="34">
        <f>E114</f>
        <v>10</v>
      </c>
      <c r="F125" s="38">
        <f>D125*E125</f>
        <v>300.07407407407311</v>
      </c>
      <c r="G125">
        <v>45</v>
      </c>
      <c r="H125" s="39">
        <f>I125*1000/12</f>
        <v>1350.3333333333292</v>
      </c>
      <c r="I125" s="70">
        <f>C124-I121</f>
        <v>16.203999999999951</v>
      </c>
    </row>
    <row r="126" spans="1:9" x14ac:dyDescent="0.3">
      <c r="A126" s="45"/>
      <c r="B126" s="37"/>
      <c r="C126" s="26"/>
      <c r="D126" s="4"/>
      <c r="E126" s="27"/>
      <c r="F126" s="38"/>
      <c r="H126" s="40"/>
      <c r="I126" s="71"/>
    </row>
    <row r="127" spans="1:9" x14ac:dyDescent="0.3">
      <c r="A127" s="45">
        <f>+A125+1</f>
        <v>82</v>
      </c>
      <c r="B127" s="37" t="s">
        <v>64</v>
      </c>
      <c r="C127" s="26"/>
      <c r="D127" s="4"/>
      <c r="E127" s="27"/>
      <c r="F127" s="41">
        <f>F121+F125</f>
        <v>15382.574074074073</v>
      </c>
      <c r="H127" s="39">
        <f>H121+H125</f>
        <v>77583.333333333328</v>
      </c>
      <c r="I127" s="70">
        <f>I121+I125</f>
        <v>931</v>
      </c>
    </row>
    <row r="128" spans="1:9" x14ac:dyDescent="0.3">
      <c r="A128" s="45"/>
      <c r="B128" s="37"/>
      <c r="C128" s="26"/>
      <c r="D128" s="4"/>
      <c r="E128" s="27"/>
      <c r="F128" s="42"/>
      <c r="H128" s="4"/>
      <c r="I128" s="71"/>
    </row>
    <row r="129" spans="1:9" x14ac:dyDescent="0.3">
      <c r="A129" s="45">
        <f>+A127+1</f>
        <v>83</v>
      </c>
      <c r="B129" s="35" t="s">
        <v>65</v>
      </c>
      <c r="C129" s="53">
        <v>228</v>
      </c>
      <c r="D129"/>
    </row>
    <row r="130" spans="1:9" x14ac:dyDescent="0.3">
      <c r="A130" s="45"/>
    </row>
    <row r="131" spans="1:9" x14ac:dyDescent="0.3">
      <c r="A131" s="45"/>
    </row>
    <row r="132" spans="1:9" x14ac:dyDescent="0.3">
      <c r="A132" s="45"/>
      <c r="B132" s="24" t="s">
        <v>74</v>
      </c>
      <c r="C132" s="24"/>
      <c r="D132" s="25" t="s">
        <v>66</v>
      </c>
      <c r="E132" s="25"/>
      <c r="F132" s="25"/>
      <c r="G132" s="25"/>
      <c r="H132" s="25"/>
      <c r="I132" s="66"/>
    </row>
    <row r="133" spans="1:9" x14ac:dyDescent="0.3">
      <c r="A133" s="45"/>
      <c r="C133"/>
      <c r="D133" t="s">
        <v>57</v>
      </c>
      <c r="E133" t="s">
        <v>58</v>
      </c>
      <c r="F133" t="s">
        <v>59</v>
      </c>
      <c r="G133" t="s">
        <v>60</v>
      </c>
      <c r="H133" t="s">
        <v>61</v>
      </c>
      <c r="I133" s="52" t="s">
        <v>62</v>
      </c>
    </row>
    <row r="134" spans="1:9" x14ac:dyDescent="0.3">
      <c r="A134" s="45">
        <f>+A129+1</f>
        <v>84</v>
      </c>
      <c r="B134" s="35" t="s">
        <v>46</v>
      </c>
      <c r="C134" s="35"/>
      <c r="D134" s="32">
        <v>364</v>
      </c>
      <c r="E134" s="33">
        <f>10*(1+F131)</f>
        <v>10</v>
      </c>
      <c r="F134" s="29">
        <f>D134*E134</f>
        <v>3640</v>
      </c>
      <c r="G134" s="29">
        <v>45</v>
      </c>
      <c r="H134" s="29">
        <f>D134*G134</f>
        <v>16380</v>
      </c>
      <c r="I134" s="67"/>
    </row>
    <row r="135" spans="1:9" x14ac:dyDescent="0.3">
      <c r="A135" s="45">
        <f>+A134+1</f>
        <v>85</v>
      </c>
      <c r="B135" s="35" t="s">
        <v>46</v>
      </c>
      <c r="C135" s="35"/>
      <c r="D135" s="32">
        <v>780</v>
      </c>
      <c r="E135" s="33">
        <f>4.1*(1+F131)</f>
        <v>4.0999999999999996</v>
      </c>
      <c r="F135" s="29">
        <f t="shared" ref="F135:F142" si="7">D135*E135</f>
        <v>3197.9999999999995</v>
      </c>
      <c r="G135" s="29">
        <v>45</v>
      </c>
      <c r="H135" s="29">
        <f t="shared" ref="H135:H142" si="8">D135*G135</f>
        <v>35100</v>
      </c>
      <c r="I135" s="67"/>
    </row>
    <row r="136" spans="1:9" x14ac:dyDescent="0.3">
      <c r="A136" s="45">
        <f>+A135+1</f>
        <v>86</v>
      </c>
      <c r="B136" s="35" t="s">
        <v>46</v>
      </c>
      <c r="C136" s="35"/>
      <c r="D136" s="32">
        <v>141</v>
      </c>
      <c r="E136" s="33">
        <v>6.75</v>
      </c>
      <c r="F136" s="29">
        <f t="shared" si="7"/>
        <v>951.75</v>
      </c>
      <c r="G136" s="29">
        <v>45</v>
      </c>
      <c r="H136" s="29">
        <f t="shared" si="8"/>
        <v>6345</v>
      </c>
      <c r="I136" s="67"/>
    </row>
    <row r="137" spans="1:9" x14ac:dyDescent="0.3">
      <c r="A137" s="45">
        <f t="shared" ref="A137:A142" si="9">+A136+1</f>
        <v>87</v>
      </c>
      <c r="B137" s="35" t="s">
        <v>51</v>
      </c>
      <c r="C137" s="35"/>
      <c r="D137" s="32">
        <v>35</v>
      </c>
      <c r="E137" s="33">
        <f>13.5*(1+F131)</f>
        <v>13.5</v>
      </c>
      <c r="F137" s="29">
        <f t="shared" si="7"/>
        <v>472.5</v>
      </c>
      <c r="G137" s="29">
        <v>67</v>
      </c>
      <c r="H137" s="29">
        <f t="shared" si="8"/>
        <v>2345</v>
      </c>
      <c r="I137" s="67"/>
    </row>
    <row r="138" spans="1:9" x14ac:dyDescent="0.3">
      <c r="A138" s="45">
        <f t="shared" si="9"/>
        <v>88</v>
      </c>
      <c r="B138" s="35" t="s">
        <v>52</v>
      </c>
      <c r="C138" s="35"/>
      <c r="D138" s="32">
        <v>0</v>
      </c>
      <c r="E138" s="33">
        <f>0*(1+F131)</f>
        <v>0</v>
      </c>
      <c r="F138" s="29">
        <f t="shared" si="7"/>
        <v>0</v>
      </c>
      <c r="G138" s="29">
        <v>99</v>
      </c>
      <c r="H138" s="29">
        <f t="shared" si="8"/>
        <v>0</v>
      </c>
      <c r="I138" s="67"/>
    </row>
    <row r="139" spans="1:9" x14ac:dyDescent="0.3">
      <c r="A139" s="45">
        <f t="shared" si="9"/>
        <v>89</v>
      </c>
      <c r="B139" s="35" t="s">
        <v>53</v>
      </c>
      <c r="C139" s="35"/>
      <c r="D139" s="32">
        <v>0</v>
      </c>
      <c r="E139" s="33">
        <f>0*(1+F131)</f>
        <v>0</v>
      </c>
      <c r="F139" s="29">
        <f t="shared" si="7"/>
        <v>0</v>
      </c>
      <c r="G139" s="29">
        <v>166</v>
      </c>
      <c r="H139" s="29">
        <f t="shared" si="8"/>
        <v>0</v>
      </c>
      <c r="I139" s="67"/>
    </row>
    <row r="140" spans="1:9" x14ac:dyDescent="0.3">
      <c r="A140" s="45">
        <f t="shared" si="9"/>
        <v>90</v>
      </c>
      <c r="B140" s="35" t="s">
        <v>47</v>
      </c>
      <c r="C140" s="35"/>
      <c r="D140" s="32">
        <v>40</v>
      </c>
      <c r="E140" s="33">
        <v>13.5</v>
      </c>
      <c r="F140" s="29">
        <f t="shared" si="7"/>
        <v>540</v>
      </c>
      <c r="G140" s="29">
        <v>99</v>
      </c>
      <c r="H140" s="29">
        <f t="shared" si="8"/>
        <v>3960</v>
      </c>
      <c r="I140" s="67"/>
    </row>
    <row r="141" spans="1:9" x14ac:dyDescent="0.3">
      <c r="A141" s="45">
        <f t="shared" si="9"/>
        <v>91</v>
      </c>
      <c r="B141" s="35" t="s">
        <v>54</v>
      </c>
      <c r="C141" s="35"/>
      <c r="D141" s="32"/>
      <c r="E141" s="33">
        <f>0*(1+F131)</f>
        <v>0</v>
      </c>
      <c r="F141" s="29">
        <f t="shared" si="7"/>
        <v>0</v>
      </c>
      <c r="G141" s="29">
        <v>166</v>
      </c>
      <c r="H141" s="29">
        <f t="shared" si="8"/>
        <v>0</v>
      </c>
      <c r="I141" s="67"/>
    </row>
    <row r="142" spans="1:9" x14ac:dyDescent="0.3">
      <c r="A142" s="45">
        <f t="shared" si="9"/>
        <v>92</v>
      </c>
      <c r="B142" s="36" t="s">
        <v>48</v>
      </c>
      <c r="C142" s="36"/>
      <c r="D142" s="32">
        <v>12</v>
      </c>
      <c r="E142" s="33">
        <f>3.4*(1+F131)</f>
        <v>3.4</v>
      </c>
      <c r="F142" s="30">
        <f t="shared" si="7"/>
        <v>40.799999999999997</v>
      </c>
      <c r="G142" s="30">
        <v>0</v>
      </c>
      <c r="H142" s="30">
        <f t="shared" si="8"/>
        <v>0</v>
      </c>
      <c r="I142" s="68"/>
    </row>
    <row r="143" spans="1:9" x14ac:dyDescent="0.3">
      <c r="A143" s="45">
        <f>+A142+1</f>
        <v>93</v>
      </c>
      <c r="B143" s="35"/>
      <c r="C143" s="35"/>
      <c r="D143" s="31">
        <f>SUM(D134:D142)</f>
        <v>1372</v>
      </c>
      <c r="F143" s="28">
        <f>SUM(F134:F142)</f>
        <v>8843.0499999999993</v>
      </c>
      <c r="G143" s="29"/>
      <c r="H143" s="28">
        <f>SUM(H134:H142)</f>
        <v>64130</v>
      </c>
      <c r="I143" s="69">
        <f>H143*12/1000</f>
        <v>769.56</v>
      </c>
    </row>
    <row r="144" spans="1:9" x14ac:dyDescent="0.3">
      <c r="A144" s="45"/>
      <c r="B144" s="35"/>
      <c r="C144" s="35"/>
      <c r="D144" s="26"/>
      <c r="F144" s="29"/>
      <c r="G144" s="29"/>
      <c r="H144" s="29"/>
      <c r="I144" s="67"/>
    </row>
    <row r="145" spans="1:10" x14ac:dyDescent="0.3">
      <c r="A145" s="45">
        <f>+A143+1</f>
        <v>94</v>
      </c>
      <c r="B145" t="s">
        <v>55</v>
      </c>
      <c r="C145" s="53">
        <v>761</v>
      </c>
      <c r="D145"/>
    </row>
    <row r="146" spans="1:10" x14ac:dyDescent="0.3">
      <c r="A146" s="45">
        <f>+A145+1</f>
        <v>95</v>
      </c>
      <c r="B146" s="37" t="s">
        <v>63</v>
      </c>
      <c r="C146" s="26"/>
      <c r="D146" s="4">
        <f>H146/45</f>
        <v>-15.851851851851752</v>
      </c>
      <c r="E146" s="34">
        <f>E134</f>
        <v>10</v>
      </c>
      <c r="F146" s="38">
        <f>D146*E146</f>
        <v>-158.51851851851751</v>
      </c>
      <c r="G146">
        <v>45</v>
      </c>
      <c r="H146" s="39">
        <f>I146*1000/12</f>
        <v>-713.33333333332882</v>
      </c>
      <c r="I146" s="70">
        <f>C145-I143</f>
        <v>-8.5599999999999454</v>
      </c>
    </row>
    <row r="147" spans="1:10" x14ac:dyDescent="0.3">
      <c r="A147" s="45"/>
      <c r="B147" s="37"/>
      <c r="C147" s="26"/>
      <c r="D147" s="4"/>
      <c r="E147" s="27"/>
      <c r="F147" s="38"/>
      <c r="H147" s="4"/>
      <c r="I147" s="71"/>
    </row>
    <row r="148" spans="1:10" x14ac:dyDescent="0.3">
      <c r="A148" s="45">
        <f>+A146+1</f>
        <v>96</v>
      </c>
      <c r="B148" s="37" t="s">
        <v>64</v>
      </c>
      <c r="C148" s="26"/>
      <c r="D148" s="4"/>
      <c r="E148" s="27"/>
      <c r="F148" s="41">
        <f>F143+F146</f>
        <v>8684.531481481481</v>
      </c>
      <c r="H148" s="39">
        <f>H143+H146</f>
        <v>63416.666666666672</v>
      </c>
      <c r="I148" s="70">
        <f>I143+I146</f>
        <v>761</v>
      </c>
    </row>
    <row r="149" spans="1:10" x14ac:dyDescent="0.3">
      <c r="A149" s="45"/>
      <c r="B149" s="37"/>
      <c r="C149" s="26"/>
      <c r="D149" s="4"/>
      <c r="E149" s="27"/>
      <c r="F149" s="42"/>
      <c r="H149" s="4"/>
      <c r="I149" s="71"/>
    </row>
    <row r="150" spans="1:10" x14ac:dyDescent="0.3">
      <c r="A150" s="45">
        <f>+A148+1</f>
        <v>97</v>
      </c>
      <c r="B150" s="35" t="s">
        <v>65</v>
      </c>
      <c r="C150" s="53">
        <v>131</v>
      </c>
      <c r="D150"/>
    </row>
    <row r="151" spans="1:10" x14ac:dyDescent="0.3">
      <c r="A151" s="45"/>
      <c r="C151" s="3"/>
      <c r="D151"/>
    </row>
    <row r="152" spans="1:10" x14ac:dyDescent="0.3">
      <c r="A152" s="45"/>
      <c r="B152" s="8" t="s">
        <v>28</v>
      </c>
      <c r="D152" s="12"/>
      <c r="E152" s="13" t="s">
        <v>22</v>
      </c>
      <c r="F152" s="13"/>
      <c r="H152" s="13" t="s">
        <v>29</v>
      </c>
      <c r="I152" s="72"/>
    </row>
    <row r="153" spans="1:10" x14ac:dyDescent="0.3">
      <c r="A153" s="45"/>
      <c r="D153" s="14" t="s">
        <v>19</v>
      </c>
      <c r="E153" s="14" t="s">
        <v>20</v>
      </c>
      <c r="F153" s="15" t="s">
        <v>21</v>
      </c>
      <c r="H153" s="14" t="s">
        <v>20</v>
      </c>
      <c r="I153" s="73" t="s">
        <v>21</v>
      </c>
    </row>
    <row r="154" spans="1:10" x14ac:dyDescent="0.3">
      <c r="A154" s="45">
        <f>+A150+1</f>
        <v>98</v>
      </c>
      <c r="B154" s="35" t="s">
        <v>46</v>
      </c>
      <c r="D154" s="2">
        <f>+D114+D134+D125+D146</f>
        <v>1282.1555555555556</v>
      </c>
      <c r="E154" s="43">
        <v>10</v>
      </c>
      <c r="F154" s="4">
        <f>+$D154*E154*12</f>
        <v>153858.66666666666</v>
      </c>
      <c r="H154" s="62">
        <f>E154*(1.38)</f>
        <v>13.799999999999999</v>
      </c>
      <c r="I154" s="71">
        <f>+$D154*H154*12</f>
        <v>212324.96</v>
      </c>
      <c r="J154" s="58">
        <f t="shared" ref="J154:J160" si="10">H154/E154</f>
        <v>1.38</v>
      </c>
    </row>
    <row r="155" spans="1:10" x14ac:dyDescent="0.3">
      <c r="A155" s="45">
        <f>+A154+1</f>
        <v>99</v>
      </c>
      <c r="B155" s="35" t="s">
        <v>46</v>
      </c>
      <c r="D155" s="2">
        <f>+D115+D135</f>
        <v>780</v>
      </c>
      <c r="E155" s="43">
        <v>4.0999999999999996</v>
      </c>
      <c r="F155" s="4">
        <f t="shared" ref="F155:F162" si="11">+$D155*E155*12</f>
        <v>38375.999999999993</v>
      </c>
      <c r="H155" s="62">
        <v>5.65</v>
      </c>
      <c r="I155" s="71">
        <f t="shared" ref="I155:I162" si="12">+$D155*H155*12</f>
        <v>52884</v>
      </c>
      <c r="J155" s="58">
        <f t="shared" si="10"/>
        <v>1.378048780487805</v>
      </c>
    </row>
    <row r="156" spans="1:10" x14ac:dyDescent="0.3">
      <c r="A156" s="45">
        <f t="shared" ref="A156:A164" si="13">+A155+1</f>
        <v>100</v>
      </c>
      <c r="B156" s="35" t="s">
        <v>46</v>
      </c>
      <c r="D156" s="2">
        <f>+D136</f>
        <v>141</v>
      </c>
      <c r="E156" s="43">
        <f>E136</f>
        <v>6.75</v>
      </c>
      <c r="F156" s="4">
        <f>+$D156*E156*12</f>
        <v>11421</v>
      </c>
      <c r="H156" s="62">
        <v>9.3000000000000007</v>
      </c>
      <c r="I156" s="71">
        <f t="shared" si="12"/>
        <v>15735.600000000002</v>
      </c>
      <c r="J156" s="58">
        <f t="shared" si="10"/>
        <v>1.377777777777778</v>
      </c>
    </row>
    <row r="157" spans="1:10" x14ac:dyDescent="0.3">
      <c r="A157" s="45">
        <f t="shared" si="13"/>
        <v>101</v>
      </c>
      <c r="B157" s="35" t="s">
        <v>51</v>
      </c>
      <c r="D157" s="2">
        <f>+D137+D115</f>
        <v>35</v>
      </c>
      <c r="E157" s="43">
        <v>13.5</v>
      </c>
      <c r="F157" s="4">
        <f t="shared" si="11"/>
        <v>5670</v>
      </c>
      <c r="H157" s="62">
        <v>18.649999999999999</v>
      </c>
      <c r="I157" s="71">
        <f t="shared" si="12"/>
        <v>7833</v>
      </c>
      <c r="J157" s="58">
        <f t="shared" si="10"/>
        <v>1.3814814814814813</v>
      </c>
    </row>
    <row r="158" spans="1:10" x14ac:dyDescent="0.3">
      <c r="A158" s="45">
        <f t="shared" si="13"/>
        <v>102</v>
      </c>
      <c r="B158" s="35" t="s">
        <v>52</v>
      </c>
      <c r="D158" s="2">
        <f>+D138+D116</f>
        <v>0</v>
      </c>
      <c r="E158" s="43">
        <v>17.8</v>
      </c>
      <c r="F158" s="4">
        <f t="shared" si="11"/>
        <v>0</v>
      </c>
      <c r="H158" s="62">
        <v>24.55</v>
      </c>
      <c r="I158" s="71">
        <f t="shared" si="12"/>
        <v>0</v>
      </c>
      <c r="J158" s="58">
        <f t="shared" si="10"/>
        <v>1.3792134831460674</v>
      </c>
    </row>
    <row r="159" spans="1:10" x14ac:dyDescent="0.3">
      <c r="A159" s="45">
        <f t="shared" si="13"/>
        <v>103</v>
      </c>
      <c r="B159" s="35" t="s">
        <v>53</v>
      </c>
      <c r="D159" s="2">
        <f>D117</f>
        <v>12</v>
      </c>
      <c r="E159" s="43">
        <v>23</v>
      </c>
      <c r="F159" s="4">
        <f t="shared" si="11"/>
        <v>3312</v>
      </c>
      <c r="H159" s="62">
        <v>31.7</v>
      </c>
      <c r="I159" s="71">
        <f t="shared" si="12"/>
        <v>4564.7999999999993</v>
      </c>
      <c r="J159" s="58">
        <f t="shared" si="10"/>
        <v>1.3782608695652174</v>
      </c>
    </row>
    <row r="160" spans="1:10" x14ac:dyDescent="0.3">
      <c r="A160" s="45">
        <f t="shared" si="13"/>
        <v>104</v>
      </c>
      <c r="B160" s="35" t="s">
        <v>47</v>
      </c>
      <c r="D160" s="2">
        <f>+D118+D140</f>
        <v>379</v>
      </c>
      <c r="E160" s="43">
        <v>13.5</v>
      </c>
      <c r="F160" s="4">
        <f t="shared" si="11"/>
        <v>61398</v>
      </c>
      <c r="H160" s="62">
        <v>18.649999999999999</v>
      </c>
      <c r="I160" s="71">
        <f t="shared" si="12"/>
        <v>84820.2</v>
      </c>
      <c r="J160" s="58">
        <f t="shared" si="10"/>
        <v>1.3814814814814813</v>
      </c>
    </row>
    <row r="161" spans="1:10" x14ac:dyDescent="0.3">
      <c r="A161" s="45">
        <f t="shared" si="13"/>
        <v>105</v>
      </c>
      <c r="B161" s="35" t="s">
        <v>54</v>
      </c>
      <c r="D161" s="2">
        <f>+D119+D141</f>
        <v>0</v>
      </c>
      <c r="E161" s="43">
        <v>0</v>
      </c>
      <c r="F161" s="4">
        <f t="shared" si="11"/>
        <v>0</v>
      </c>
      <c r="H161" s="62">
        <f t="shared" ref="H161" si="14">E161*(1.38)</f>
        <v>0</v>
      </c>
      <c r="I161" s="71">
        <f t="shared" si="12"/>
        <v>0</v>
      </c>
      <c r="J161" s="58"/>
    </row>
    <row r="162" spans="1:10" x14ac:dyDescent="0.3">
      <c r="A162" s="45">
        <f t="shared" si="13"/>
        <v>106</v>
      </c>
      <c r="B162" s="36" t="s">
        <v>48</v>
      </c>
      <c r="D162" s="2">
        <f>+D120+D142</f>
        <v>362</v>
      </c>
      <c r="E162" s="43">
        <v>3.4</v>
      </c>
      <c r="F162" s="4">
        <f t="shared" si="11"/>
        <v>14769.599999999999</v>
      </c>
      <c r="H162" s="62">
        <v>4.7</v>
      </c>
      <c r="I162" s="71">
        <f t="shared" si="12"/>
        <v>20416.800000000003</v>
      </c>
      <c r="J162" s="58">
        <f>H162/E162</f>
        <v>1.3823529411764708</v>
      </c>
    </row>
    <row r="163" spans="1:10" ht="15" thickBot="1" x14ac:dyDescent="0.35">
      <c r="A163" s="45">
        <f t="shared" si="13"/>
        <v>107</v>
      </c>
      <c r="F163" s="44">
        <f>SUM(F154:F162)</f>
        <v>288805.2666666666</v>
      </c>
      <c r="H163" s="54"/>
      <c r="I163" s="74">
        <f>SUM(I154:I162)</f>
        <v>398579.35999999993</v>
      </c>
    </row>
    <row r="164" spans="1:10" ht="15" thickTop="1" x14ac:dyDescent="0.3">
      <c r="A164" s="45">
        <f t="shared" si="13"/>
        <v>108</v>
      </c>
      <c r="B164" t="s">
        <v>67</v>
      </c>
      <c r="F164" s="4">
        <f>+(C165-F163)/F163</f>
        <v>0.37998175933541406</v>
      </c>
      <c r="I164" s="71">
        <f>+I163-C165</f>
        <v>33.359999999927823</v>
      </c>
    </row>
    <row r="165" spans="1:10" x14ac:dyDescent="0.3">
      <c r="A165" s="45"/>
      <c r="C165" s="63">
        <v>398546</v>
      </c>
      <c r="D165" s="48" t="s">
        <v>71</v>
      </c>
      <c r="I165" s="75">
        <f>+(I163/F163)-1</f>
        <v>0.38009726969429702</v>
      </c>
    </row>
    <row r="166" spans="1:10" x14ac:dyDescent="0.3">
      <c r="A166" s="45"/>
    </row>
    <row r="167" spans="1:10" x14ac:dyDescent="0.3">
      <c r="A167" s="45"/>
      <c r="F167" s="1"/>
    </row>
    <row r="168" spans="1:10" x14ac:dyDescent="0.3">
      <c r="A168" s="45"/>
    </row>
    <row r="169" spans="1:10" x14ac:dyDescent="0.3">
      <c r="A169" s="45"/>
    </row>
    <row r="170" spans="1:10" x14ac:dyDescent="0.3">
      <c r="A170" s="45"/>
    </row>
    <row r="171" spans="1:10" x14ac:dyDescent="0.3">
      <c r="A171" s="45"/>
    </row>
    <row r="172" spans="1:10" x14ac:dyDescent="0.3">
      <c r="A172" s="45"/>
    </row>
    <row r="173" spans="1:10" x14ac:dyDescent="0.3">
      <c r="A173" s="45"/>
    </row>
    <row r="174" spans="1:10" x14ac:dyDescent="0.3">
      <c r="A174" s="45"/>
    </row>
    <row r="175" spans="1:10" x14ac:dyDescent="0.3">
      <c r="A175" s="45"/>
    </row>
    <row r="176" spans="1:10" x14ac:dyDescent="0.3">
      <c r="A176" s="45"/>
    </row>
    <row r="177" spans="1:1" x14ac:dyDescent="0.3">
      <c r="A177" s="45"/>
    </row>
    <row r="178" spans="1:1" x14ac:dyDescent="0.3">
      <c r="A178" s="45"/>
    </row>
    <row r="179" spans="1:1" x14ac:dyDescent="0.3">
      <c r="A179" s="45"/>
    </row>
    <row r="180" spans="1:1" x14ac:dyDescent="0.3">
      <c r="A180" s="45"/>
    </row>
    <row r="181" spans="1:1" x14ac:dyDescent="0.3">
      <c r="A181" s="45"/>
    </row>
    <row r="182" spans="1:1" x14ac:dyDescent="0.3">
      <c r="A182" s="45"/>
    </row>
    <row r="183" spans="1:1" x14ac:dyDescent="0.3">
      <c r="A183" s="45"/>
    </row>
    <row r="184" spans="1:1" x14ac:dyDescent="0.3">
      <c r="A184" s="45"/>
    </row>
    <row r="185" spans="1:1" x14ac:dyDescent="0.3">
      <c r="A185" s="45"/>
    </row>
    <row r="186" spans="1:1" x14ac:dyDescent="0.3">
      <c r="A186" s="45"/>
    </row>
    <row r="187" spans="1:1" x14ac:dyDescent="0.3">
      <c r="A187" s="45"/>
    </row>
    <row r="188" spans="1:1" x14ac:dyDescent="0.3">
      <c r="A188" s="45"/>
    </row>
    <row r="189" spans="1:1" x14ac:dyDescent="0.3">
      <c r="A189" s="45"/>
    </row>
    <row r="190" spans="1:1" x14ac:dyDescent="0.3">
      <c r="A190" s="45"/>
    </row>
    <row r="191" spans="1:1" x14ac:dyDescent="0.3">
      <c r="A191" s="45"/>
    </row>
    <row r="192" spans="1:1" x14ac:dyDescent="0.3">
      <c r="A192" s="45"/>
    </row>
    <row r="193" spans="1:1" x14ac:dyDescent="0.3">
      <c r="A193" s="45"/>
    </row>
    <row r="194" spans="1:1" x14ac:dyDescent="0.3">
      <c r="A194" s="45"/>
    </row>
    <row r="195" spans="1:1" x14ac:dyDescent="0.3">
      <c r="A195" s="45"/>
    </row>
    <row r="196" spans="1:1" x14ac:dyDescent="0.3">
      <c r="A196" s="45"/>
    </row>
    <row r="197" spans="1:1" x14ac:dyDescent="0.3">
      <c r="A197" s="45"/>
    </row>
    <row r="198" spans="1:1" x14ac:dyDescent="0.3">
      <c r="A198" s="45"/>
    </row>
    <row r="199" spans="1:1" x14ac:dyDescent="0.3">
      <c r="A199" s="45"/>
    </row>
    <row r="200" spans="1:1" x14ac:dyDescent="0.3">
      <c r="A200" s="45"/>
    </row>
    <row r="201" spans="1:1" x14ac:dyDescent="0.3">
      <c r="A201" s="45"/>
    </row>
    <row r="202" spans="1:1" x14ac:dyDescent="0.3">
      <c r="A202" s="45"/>
    </row>
    <row r="203" spans="1:1" x14ac:dyDescent="0.3">
      <c r="A203" s="45"/>
    </row>
    <row r="204" spans="1:1" x14ac:dyDescent="0.3">
      <c r="A204" s="45"/>
    </row>
    <row r="205" spans="1:1" x14ac:dyDescent="0.3">
      <c r="A205" s="45"/>
    </row>
    <row r="206" spans="1:1" x14ac:dyDescent="0.3">
      <c r="A206" s="45"/>
    </row>
    <row r="207" spans="1:1" x14ac:dyDescent="0.3">
      <c r="A207" s="45"/>
    </row>
    <row r="208" spans="1:1" x14ac:dyDescent="0.3">
      <c r="A208" s="45"/>
    </row>
    <row r="209" spans="1:1" x14ac:dyDescent="0.3">
      <c r="A209" s="45"/>
    </row>
    <row r="210" spans="1:1" x14ac:dyDescent="0.3">
      <c r="A210" s="45"/>
    </row>
    <row r="211" spans="1:1" x14ac:dyDescent="0.3">
      <c r="A211" s="45"/>
    </row>
    <row r="212" spans="1:1" x14ac:dyDescent="0.3">
      <c r="A212" s="45"/>
    </row>
    <row r="213" spans="1:1" x14ac:dyDescent="0.3">
      <c r="A213" s="45"/>
    </row>
    <row r="214" spans="1:1" x14ac:dyDescent="0.3">
      <c r="A214" s="45"/>
    </row>
    <row r="215" spans="1:1" x14ac:dyDescent="0.3">
      <c r="A215" s="45"/>
    </row>
    <row r="216" spans="1:1" x14ac:dyDescent="0.3">
      <c r="A216" s="45"/>
    </row>
    <row r="217" spans="1:1" x14ac:dyDescent="0.3">
      <c r="A217" s="45"/>
    </row>
    <row r="218" spans="1:1" x14ac:dyDescent="0.3">
      <c r="A218" s="45"/>
    </row>
    <row r="219" spans="1:1" x14ac:dyDescent="0.3">
      <c r="A219" s="45"/>
    </row>
    <row r="220" spans="1:1" x14ac:dyDescent="0.3">
      <c r="A220" s="45"/>
    </row>
    <row r="221" spans="1:1" x14ac:dyDescent="0.3">
      <c r="A221" s="45"/>
    </row>
    <row r="222" spans="1:1" x14ac:dyDescent="0.3">
      <c r="A222" s="45"/>
    </row>
    <row r="223" spans="1:1" x14ac:dyDescent="0.3">
      <c r="A223" s="45"/>
    </row>
    <row r="224" spans="1:1" x14ac:dyDescent="0.3">
      <c r="A224" s="45"/>
    </row>
    <row r="225" spans="1:1" x14ac:dyDescent="0.3">
      <c r="A225" s="45"/>
    </row>
    <row r="226" spans="1:1" x14ac:dyDescent="0.3">
      <c r="A226" s="45"/>
    </row>
    <row r="227" spans="1:1" x14ac:dyDescent="0.3">
      <c r="A227" s="45"/>
    </row>
    <row r="228" spans="1:1" x14ac:dyDescent="0.3">
      <c r="A228" s="45"/>
    </row>
    <row r="229" spans="1:1" x14ac:dyDescent="0.3">
      <c r="A229" s="45"/>
    </row>
    <row r="230" spans="1:1" x14ac:dyDescent="0.3">
      <c r="A230" s="45"/>
    </row>
    <row r="231" spans="1:1" x14ac:dyDescent="0.3">
      <c r="A231" s="45"/>
    </row>
    <row r="232" spans="1:1" x14ac:dyDescent="0.3">
      <c r="A232" s="45"/>
    </row>
    <row r="233" spans="1:1" x14ac:dyDescent="0.3">
      <c r="A233" s="45"/>
    </row>
    <row r="234" spans="1:1" x14ac:dyDescent="0.3">
      <c r="A234" s="45"/>
    </row>
    <row r="235" spans="1:1" x14ac:dyDescent="0.3">
      <c r="A235" s="45"/>
    </row>
    <row r="236" spans="1:1" x14ac:dyDescent="0.3">
      <c r="A236" s="45"/>
    </row>
    <row r="237" spans="1:1" x14ac:dyDescent="0.3">
      <c r="A237" s="45"/>
    </row>
    <row r="238" spans="1:1" x14ac:dyDescent="0.3">
      <c r="A238" s="45"/>
    </row>
    <row r="239" spans="1:1" x14ac:dyDescent="0.3">
      <c r="A239" s="45"/>
    </row>
    <row r="240" spans="1:1" x14ac:dyDescent="0.3">
      <c r="A240" s="45"/>
    </row>
    <row r="241" spans="1:1" x14ac:dyDescent="0.3">
      <c r="A241" s="45"/>
    </row>
    <row r="242" spans="1:1" x14ac:dyDescent="0.3">
      <c r="A242" s="45"/>
    </row>
    <row r="243" spans="1:1" x14ac:dyDescent="0.3">
      <c r="A243" s="45"/>
    </row>
    <row r="244" spans="1:1" x14ac:dyDescent="0.3">
      <c r="A244" s="45"/>
    </row>
    <row r="245" spans="1:1" x14ac:dyDescent="0.3">
      <c r="A245" s="45"/>
    </row>
    <row r="246" spans="1:1" x14ac:dyDescent="0.3">
      <c r="A246" s="45"/>
    </row>
    <row r="247" spans="1:1" x14ac:dyDescent="0.3">
      <c r="A247" s="45"/>
    </row>
    <row r="248" spans="1:1" x14ac:dyDescent="0.3">
      <c r="A248" s="45"/>
    </row>
    <row r="249" spans="1:1" x14ac:dyDescent="0.3">
      <c r="A249" s="45"/>
    </row>
    <row r="250" spans="1:1" x14ac:dyDescent="0.3">
      <c r="A250" s="45"/>
    </row>
    <row r="251" spans="1:1" x14ac:dyDescent="0.3">
      <c r="A251" s="45"/>
    </row>
    <row r="252" spans="1:1" x14ac:dyDescent="0.3">
      <c r="A252" s="45"/>
    </row>
    <row r="253" spans="1:1" x14ac:dyDescent="0.3">
      <c r="A253" s="45"/>
    </row>
    <row r="254" spans="1:1" x14ac:dyDescent="0.3">
      <c r="A254" s="45"/>
    </row>
    <row r="255" spans="1:1" x14ac:dyDescent="0.3">
      <c r="A255" s="45"/>
    </row>
    <row r="256" spans="1:1" x14ac:dyDescent="0.3">
      <c r="A256" s="45"/>
    </row>
    <row r="257" spans="1:1" x14ac:dyDescent="0.3">
      <c r="A257" s="45"/>
    </row>
    <row r="258" spans="1:1" x14ac:dyDescent="0.3">
      <c r="A258" s="45"/>
    </row>
    <row r="259" spans="1:1" x14ac:dyDescent="0.3">
      <c r="A259" s="45"/>
    </row>
    <row r="260" spans="1:1" x14ac:dyDescent="0.3">
      <c r="A260" s="45"/>
    </row>
    <row r="261" spans="1:1" x14ac:dyDescent="0.3">
      <c r="A261" s="45"/>
    </row>
    <row r="262" spans="1:1" x14ac:dyDescent="0.3">
      <c r="A262" s="45"/>
    </row>
    <row r="263" spans="1:1" x14ac:dyDescent="0.3">
      <c r="A263" s="45"/>
    </row>
    <row r="264" spans="1:1" x14ac:dyDescent="0.3">
      <c r="A264" s="45"/>
    </row>
    <row r="265" spans="1:1" x14ac:dyDescent="0.3">
      <c r="A265" s="45"/>
    </row>
    <row r="266" spans="1:1" x14ac:dyDescent="0.3">
      <c r="A266" s="45"/>
    </row>
    <row r="267" spans="1:1" x14ac:dyDescent="0.3">
      <c r="A267" s="45"/>
    </row>
    <row r="268" spans="1:1" x14ac:dyDescent="0.3">
      <c r="A268" s="45"/>
    </row>
    <row r="269" spans="1:1" x14ac:dyDescent="0.3">
      <c r="A269" s="45"/>
    </row>
    <row r="270" spans="1:1" x14ac:dyDescent="0.3">
      <c r="A270" s="45"/>
    </row>
    <row r="271" spans="1:1" x14ac:dyDescent="0.3">
      <c r="A271" s="45"/>
    </row>
    <row r="272" spans="1:1" x14ac:dyDescent="0.3">
      <c r="A272" s="45"/>
    </row>
    <row r="273" spans="1:1" x14ac:dyDescent="0.3">
      <c r="A273" s="45"/>
    </row>
    <row r="274" spans="1:1" x14ac:dyDescent="0.3">
      <c r="A274" s="45"/>
    </row>
    <row r="275" spans="1:1" x14ac:dyDescent="0.3">
      <c r="A275" s="45"/>
    </row>
    <row r="276" spans="1:1" x14ac:dyDescent="0.3">
      <c r="A276" s="45"/>
    </row>
    <row r="277" spans="1:1" x14ac:dyDescent="0.3">
      <c r="A277" s="45"/>
    </row>
    <row r="278" spans="1:1" x14ac:dyDescent="0.3">
      <c r="A278" s="45"/>
    </row>
    <row r="279" spans="1:1" x14ac:dyDescent="0.3">
      <c r="A279" s="45"/>
    </row>
    <row r="280" spans="1:1" x14ac:dyDescent="0.3">
      <c r="A280" s="45"/>
    </row>
    <row r="281" spans="1:1" x14ac:dyDescent="0.3">
      <c r="A281" s="45"/>
    </row>
    <row r="282" spans="1:1" x14ac:dyDescent="0.3">
      <c r="A282" s="45"/>
    </row>
    <row r="283" spans="1:1" x14ac:dyDescent="0.3">
      <c r="A283" s="45"/>
    </row>
    <row r="284" spans="1:1" x14ac:dyDescent="0.3">
      <c r="A284" s="45"/>
    </row>
    <row r="285" spans="1:1" x14ac:dyDescent="0.3">
      <c r="A285" s="45"/>
    </row>
    <row r="286" spans="1:1" x14ac:dyDescent="0.3">
      <c r="A286" s="45"/>
    </row>
    <row r="287" spans="1:1" x14ac:dyDescent="0.3">
      <c r="A287" s="45"/>
    </row>
    <row r="288" spans="1:1" x14ac:dyDescent="0.3">
      <c r="A288" s="45"/>
    </row>
    <row r="289" spans="1:1" x14ac:dyDescent="0.3">
      <c r="A289" s="45"/>
    </row>
    <row r="290" spans="1:1" x14ac:dyDescent="0.3">
      <c r="A290" s="45"/>
    </row>
    <row r="291" spans="1:1" x14ac:dyDescent="0.3">
      <c r="A291" s="45"/>
    </row>
    <row r="292" spans="1:1" x14ac:dyDescent="0.3">
      <c r="A292" s="45"/>
    </row>
    <row r="293" spans="1:1" x14ac:dyDescent="0.3">
      <c r="A293" s="45"/>
    </row>
    <row r="294" spans="1:1" x14ac:dyDescent="0.3">
      <c r="A294" s="45"/>
    </row>
    <row r="295" spans="1:1" x14ac:dyDescent="0.3">
      <c r="A295" s="45"/>
    </row>
    <row r="296" spans="1:1" x14ac:dyDescent="0.3">
      <c r="A296" s="45"/>
    </row>
    <row r="297" spans="1:1" x14ac:dyDescent="0.3">
      <c r="A297" s="45"/>
    </row>
    <row r="298" spans="1:1" x14ac:dyDescent="0.3">
      <c r="A298" s="45"/>
    </row>
    <row r="299" spans="1:1" x14ac:dyDescent="0.3">
      <c r="A299" s="45"/>
    </row>
    <row r="300" spans="1:1" x14ac:dyDescent="0.3">
      <c r="A300" s="45"/>
    </row>
    <row r="301" spans="1:1" x14ac:dyDescent="0.3">
      <c r="A301" s="45"/>
    </row>
    <row r="302" spans="1:1" x14ac:dyDescent="0.3">
      <c r="A302" s="45"/>
    </row>
    <row r="303" spans="1:1" x14ac:dyDescent="0.3">
      <c r="A303" s="45"/>
    </row>
    <row r="304" spans="1:1" x14ac:dyDescent="0.3">
      <c r="A304" s="45"/>
    </row>
    <row r="305" spans="1:1" x14ac:dyDescent="0.3">
      <c r="A305" s="45"/>
    </row>
    <row r="306" spans="1:1" x14ac:dyDescent="0.3">
      <c r="A306" s="45"/>
    </row>
    <row r="307" spans="1:1" x14ac:dyDescent="0.3">
      <c r="A307" s="45"/>
    </row>
    <row r="308" spans="1:1" x14ac:dyDescent="0.3">
      <c r="A308" s="45"/>
    </row>
    <row r="309" spans="1:1" x14ac:dyDescent="0.3">
      <c r="A309" s="45"/>
    </row>
    <row r="310" spans="1:1" x14ac:dyDescent="0.3">
      <c r="A310" s="45"/>
    </row>
    <row r="311" spans="1:1" x14ac:dyDescent="0.3">
      <c r="A311" s="45"/>
    </row>
    <row r="312" spans="1:1" x14ac:dyDescent="0.3">
      <c r="A312" s="45"/>
    </row>
    <row r="313" spans="1:1" x14ac:dyDescent="0.3">
      <c r="A313" s="45"/>
    </row>
    <row r="314" spans="1:1" x14ac:dyDescent="0.3">
      <c r="A314" s="45"/>
    </row>
    <row r="315" spans="1:1" x14ac:dyDescent="0.3">
      <c r="A315" s="45"/>
    </row>
    <row r="316" spans="1:1" x14ac:dyDescent="0.3">
      <c r="A316" s="45"/>
    </row>
    <row r="317" spans="1:1" x14ac:dyDescent="0.3">
      <c r="A317" s="45"/>
    </row>
    <row r="318" spans="1:1" x14ac:dyDescent="0.3">
      <c r="A318" s="45"/>
    </row>
    <row r="319" spans="1:1" x14ac:dyDescent="0.3">
      <c r="A319" s="45"/>
    </row>
    <row r="320" spans="1:1" x14ac:dyDescent="0.3">
      <c r="A320" s="45"/>
    </row>
    <row r="321" spans="1:1" x14ac:dyDescent="0.3">
      <c r="A321" s="45"/>
    </row>
    <row r="322" spans="1:1" x14ac:dyDescent="0.3">
      <c r="A322" s="45"/>
    </row>
    <row r="323" spans="1:1" x14ac:dyDescent="0.3">
      <c r="A323" s="45"/>
    </row>
    <row r="324" spans="1:1" x14ac:dyDescent="0.3">
      <c r="A324" s="45"/>
    </row>
    <row r="325" spans="1:1" x14ac:dyDescent="0.3">
      <c r="A325" s="45"/>
    </row>
    <row r="326" spans="1:1" x14ac:dyDescent="0.3">
      <c r="A326" s="45"/>
    </row>
    <row r="327" spans="1:1" x14ac:dyDescent="0.3">
      <c r="A327" s="45"/>
    </row>
    <row r="328" spans="1:1" x14ac:dyDescent="0.3">
      <c r="A328" s="45"/>
    </row>
    <row r="329" spans="1:1" x14ac:dyDescent="0.3">
      <c r="A329" s="45"/>
    </row>
    <row r="330" spans="1:1" x14ac:dyDescent="0.3">
      <c r="A330" s="45"/>
    </row>
    <row r="331" spans="1:1" x14ac:dyDescent="0.3">
      <c r="A331" s="45"/>
    </row>
    <row r="332" spans="1:1" x14ac:dyDescent="0.3">
      <c r="A332" s="45"/>
    </row>
    <row r="333" spans="1:1" x14ac:dyDescent="0.3">
      <c r="A333" s="45"/>
    </row>
    <row r="334" spans="1:1" x14ac:dyDescent="0.3">
      <c r="A334" s="45"/>
    </row>
    <row r="335" spans="1:1" x14ac:dyDescent="0.3">
      <c r="A335" s="45"/>
    </row>
    <row r="336" spans="1:1" x14ac:dyDescent="0.3">
      <c r="A336" s="45"/>
    </row>
    <row r="337" spans="1:1" x14ac:dyDescent="0.3">
      <c r="A337" s="45"/>
    </row>
    <row r="338" spans="1:1" x14ac:dyDescent="0.3">
      <c r="A338" s="45"/>
    </row>
    <row r="339" spans="1:1" x14ac:dyDescent="0.3">
      <c r="A339" s="45"/>
    </row>
    <row r="340" spans="1:1" x14ac:dyDescent="0.3">
      <c r="A340" s="45"/>
    </row>
    <row r="341" spans="1:1" x14ac:dyDescent="0.3">
      <c r="A341" s="45"/>
    </row>
    <row r="342" spans="1:1" x14ac:dyDescent="0.3">
      <c r="A342" s="45"/>
    </row>
    <row r="343" spans="1:1" x14ac:dyDescent="0.3">
      <c r="A343" s="45"/>
    </row>
    <row r="344" spans="1:1" x14ac:dyDescent="0.3">
      <c r="A344" s="45"/>
    </row>
    <row r="345" spans="1:1" x14ac:dyDescent="0.3">
      <c r="A345" s="45"/>
    </row>
    <row r="346" spans="1:1" x14ac:dyDescent="0.3">
      <c r="A346" s="45"/>
    </row>
    <row r="347" spans="1:1" x14ac:dyDescent="0.3">
      <c r="A347" s="45"/>
    </row>
    <row r="348" spans="1:1" x14ac:dyDescent="0.3">
      <c r="A348" s="45"/>
    </row>
    <row r="349" spans="1:1" x14ac:dyDescent="0.3">
      <c r="A349" s="45"/>
    </row>
    <row r="350" spans="1:1" x14ac:dyDescent="0.3">
      <c r="A350" s="45"/>
    </row>
    <row r="351" spans="1:1" x14ac:dyDescent="0.3">
      <c r="A351" s="45"/>
    </row>
    <row r="352" spans="1:1" x14ac:dyDescent="0.3">
      <c r="A352" s="45"/>
    </row>
    <row r="353" spans="1:1" x14ac:dyDescent="0.3">
      <c r="A353" s="45"/>
    </row>
    <row r="354" spans="1:1" x14ac:dyDescent="0.3">
      <c r="A354" s="45"/>
    </row>
    <row r="355" spans="1:1" x14ac:dyDescent="0.3">
      <c r="A355" s="45"/>
    </row>
    <row r="356" spans="1:1" x14ac:dyDescent="0.3">
      <c r="A356" s="45"/>
    </row>
    <row r="357" spans="1:1" x14ac:dyDescent="0.3">
      <c r="A357" s="45"/>
    </row>
    <row r="358" spans="1:1" x14ac:dyDescent="0.3">
      <c r="A358" s="45"/>
    </row>
    <row r="359" spans="1:1" x14ac:dyDescent="0.3">
      <c r="A359" s="45"/>
    </row>
    <row r="360" spans="1:1" x14ac:dyDescent="0.3">
      <c r="A360" s="45"/>
    </row>
    <row r="361" spans="1:1" x14ac:dyDescent="0.3">
      <c r="A361" s="45"/>
    </row>
    <row r="362" spans="1:1" x14ac:dyDescent="0.3">
      <c r="A362" s="45"/>
    </row>
    <row r="363" spans="1:1" x14ac:dyDescent="0.3">
      <c r="A363" s="45"/>
    </row>
    <row r="364" spans="1:1" x14ac:dyDescent="0.3">
      <c r="A364" s="45"/>
    </row>
    <row r="365" spans="1:1" x14ac:dyDescent="0.3">
      <c r="A365" s="45"/>
    </row>
    <row r="366" spans="1:1" x14ac:dyDescent="0.3">
      <c r="A366" s="45"/>
    </row>
    <row r="367" spans="1:1" x14ac:dyDescent="0.3">
      <c r="A367" s="45"/>
    </row>
    <row r="368" spans="1:1" x14ac:dyDescent="0.3">
      <c r="A368" s="45"/>
    </row>
    <row r="369" spans="1:1" x14ac:dyDescent="0.3">
      <c r="A369" s="45"/>
    </row>
    <row r="370" spans="1:1" x14ac:dyDescent="0.3">
      <c r="A370" s="45"/>
    </row>
  </sheetData>
  <pageMargins left="0.7" right="0.7" top="0.75" bottom="0.75" header="0.3" footer="0.3"/>
  <pageSetup scale="79" orientation="landscape" r:id="rId1"/>
  <rowBreaks count="3" manualBreakCount="3">
    <brk id="40" max="16383" man="1"/>
    <brk id="73" max="16383" man="1"/>
    <brk id="11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0"/>
  <sheetViews>
    <sheetView topLeftCell="A109" zoomScaleNormal="100" workbookViewId="0">
      <selection activeCell="A99" sqref="A99"/>
    </sheetView>
  </sheetViews>
  <sheetFormatPr defaultRowHeight="14.4" x14ac:dyDescent="0.3"/>
  <cols>
    <col min="2" max="2" width="37" customWidth="1"/>
    <col min="3" max="3" width="29.88671875" style="2" customWidth="1"/>
    <col min="4" max="4" width="12.33203125" style="2" customWidth="1"/>
    <col min="5" max="5" width="16.33203125" bestFit="1" customWidth="1"/>
    <col min="6" max="7" width="11.5546875" bestFit="1" customWidth="1"/>
    <col min="8" max="8" width="12.88671875" bestFit="1" customWidth="1"/>
    <col min="9" max="9" width="13.44140625" style="52" bestFit="1" customWidth="1"/>
  </cols>
  <sheetData>
    <row r="1" spans="1:8" x14ac:dyDescent="0.3">
      <c r="A1" s="46" t="s">
        <v>4</v>
      </c>
      <c r="B1" s="46"/>
      <c r="C1" s="13"/>
      <c r="D1" s="13"/>
      <c r="E1" s="46"/>
      <c r="F1" s="46"/>
      <c r="G1" s="46"/>
      <c r="H1" s="46"/>
    </row>
    <row r="2" spans="1:8" x14ac:dyDescent="0.3">
      <c r="A2" s="46" t="s">
        <v>0</v>
      </c>
      <c r="B2" s="46"/>
      <c r="C2" s="13"/>
      <c r="D2" s="13"/>
      <c r="E2" s="46"/>
      <c r="F2" s="46"/>
      <c r="G2" s="46"/>
      <c r="H2" s="46"/>
    </row>
    <row r="3" spans="1:8" x14ac:dyDescent="0.3">
      <c r="A3" s="46" t="s">
        <v>73</v>
      </c>
      <c r="B3" s="46"/>
      <c r="C3" s="13"/>
      <c r="D3" s="13"/>
      <c r="E3" s="46"/>
      <c r="F3" s="46"/>
      <c r="G3" s="46"/>
      <c r="H3" s="46"/>
    </row>
    <row r="4" spans="1:8" x14ac:dyDescent="0.3">
      <c r="A4" t="str">
        <f ca="1">+CELL("filename")</f>
        <v>Y:\D Drive\_ FINAL RFIs\DRAFTS\Oct 15-13 B3\[PUB-NLH-117 Excel Attachment 1.xlsx]Rate Design (DEM)</v>
      </c>
    </row>
    <row r="5" spans="1:8" x14ac:dyDescent="0.3">
      <c r="A5" s="15" t="s">
        <v>2</v>
      </c>
      <c r="D5" s="12" t="s">
        <v>1</v>
      </c>
    </row>
    <row r="6" spans="1:8" x14ac:dyDescent="0.3">
      <c r="A6" s="7">
        <v>1</v>
      </c>
      <c r="B6" t="s">
        <v>3</v>
      </c>
      <c r="C6" s="63">
        <v>23003935</v>
      </c>
      <c r="D6" s="2" t="s">
        <v>71</v>
      </c>
    </row>
    <row r="7" spans="1:8" x14ac:dyDescent="0.3">
      <c r="A7" s="7">
        <f>+A6+1</f>
        <v>2</v>
      </c>
      <c r="B7" t="s">
        <v>5</v>
      </c>
      <c r="C7" s="48">
        <f>+H37</f>
        <v>13574964.203077644</v>
      </c>
      <c r="D7" s="48" t="str">
        <f>+"Line "&amp;A37</f>
        <v>Line 23</v>
      </c>
    </row>
    <row r="8" spans="1:8" x14ac:dyDescent="0.3">
      <c r="A8" s="7">
        <f t="shared" ref="A8:A14" si="0">+A7+1</f>
        <v>3</v>
      </c>
      <c r="B8" t="s">
        <v>6</v>
      </c>
      <c r="C8" s="48">
        <f>+H52</f>
        <v>443159.78840371629</v>
      </c>
      <c r="D8" s="48" t="str">
        <f>+"Line "&amp;A52</f>
        <v>Line 32</v>
      </c>
    </row>
    <row r="9" spans="1:8" x14ac:dyDescent="0.3">
      <c r="A9" s="7">
        <f t="shared" si="0"/>
        <v>4</v>
      </c>
      <c r="B9" t="s">
        <v>7</v>
      </c>
      <c r="C9" s="48">
        <f>+H70</f>
        <v>2481031.9537460003</v>
      </c>
      <c r="D9" s="48" t="str">
        <f>+"Line "&amp;A70</f>
        <v>Line 44</v>
      </c>
    </row>
    <row r="10" spans="1:8" x14ac:dyDescent="0.3">
      <c r="A10" s="7">
        <f t="shared" si="0"/>
        <v>5</v>
      </c>
      <c r="B10" t="s">
        <v>8</v>
      </c>
      <c r="C10" s="48">
        <f>+H88</f>
        <v>3672342.0423285253</v>
      </c>
      <c r="D10" s="48" t="str">
        <f>+"Line "&amp;A88</f>
        <v>Line 56</v>
      </c>
    </row>
    <row r="11" spans="1:8" x14ac:dyDescent="0.3">
      <c r="A11" s="7">
        <f t="shared" si="0"/>
        <v>6</v>
      </c>
      <c r="B11" t="s">
        <v>9</v>
      </c>
      <c r="C11" s="48">
        <f>+H107</f>
        <v>2549971.8451639363</v>
      </c>
      <c r="D11" s="48" t="str">
        <f>+"Line "&amp;A107</f>
        <v>Line 69</v>
      </c>
    </row>
    <row r="12" spans="1:8" x14ac:dyDescent="0.3">
      <c r="A12" s="7">
        <f t="shared" si="0"/>
        <v>7</v>
      </c>
      <c r="B12" t="s">
        <v>10</v>
      </c>
      <c r="C12" s="48">
        <f>+I163</f>
        <v>398579.35999999993</v>
      </c>
      <c r="D12" s="48" t="str">
        <f>+"Line "&amp;A163</f>
        <v>Line 107</v>
      </c>
      <c r="F12" s="56"/>
    </row>
    <row r="13" spans="1:8" x14ac:dyDescent="0.3">
      <c r="A13" s="7">
        <f t="shared" si="0"/>
        <v>8</v>
      </c>
      <c r="B13" t="s">
        <v>11</v>
      </c>
      <c r="C13" s="57">
        <f>SUM(C7:C12)</f>
        <v>23120049.192719821</v>
      </c>
      <c r="E13" s="80">
        <f>C21+C45+C59+C77+C96+C165</f>
        <v>23119835.650000002</v>
      </c>
      <c r="F13" s="81">
        <v>1.1035622739083899</v>
      </c>
    </row>
    <row r="14" spans="1:8" x14ac:dyDescent="0.3">
      <c r="A14" s="7">
        <f t="shared" si="0"/>
        <v>9</v>
      </c>
      <c r="B14" t="s">
        <v>12</v>
      </c>
      <c r="C14" s="48">
        <f>+C6-C13</f>
        <v>-116114.19271982089</v>
      </c>
    </row>
    <row r="15" spans="1:8" x14ac:dyDescent="0.3">
      <c r="A15" s="7"/>
    </row>
    <row r="16" spans="1:8" x14ac:dyDescent="0.3">
      <c r="A16" s="7"/>
      <c r="B16" s="8" t="s">
        <v>5</v>
      </c>
    </row>
    <row r="17" spans="1:9" x14ac:dyDescent="0.3">
      <c r="A17" s="7">
        <f>+A14+A16</f>
        <v>9</v>
      </c>
      <c r="B17" t="s">
        <v>13</v>
      </c>
      <c r="C17" s="63">
        <v>299256</v>
      </c>
      <c r="D17" s="48" t="s">
        <v>17</v>
      </c>
    </row>
    <row r="18" spans="1:9" x14ac:dyDescent="0.3">
      <c r="A18" s="7">
        <f>+A17+1</f>
        <v>10</v>
      </c>
      <c r="B18" t="s">
        <v>14</v>
      </c>
      <c r="C18" s="63">
        <v>13990062</v>
      </c>
      <c r="D18" s="48" t="s">
        <v>18</v>
      </c>
    </row>
    <row r="19" spans="1:9" x14ac:dyDescent="0.3">
      <c r="A19" s="7">
        <f>+A18+1</f>
        <v>11</v>
      </c>
      <c r="B19" t="s">
        <v>11</v>
      </c>
      <c r="C19" s="57">
        <f>+C18+C17</f>
        <v>14289318</v>
      </c>
    </row>
    <row r="20" spans="1:9" x14ac:dyDescent="0.3">
      <c r="A20" s="7">
        <f>+A19+1</f>
        <v>12</v>
      </c>
      <c r="B20" t="s">
        <v>15</v>
      </c>
      <c r="C20" s="6">
        <v>0.95</v>
      </c>
    </row>
    <row r="21" spans="1:9" ht="16.5" customHeight="1" x14ac:dyDescent="0.3">
      <c r="A21" s="7">
        <f>+A20+1</f>
        <v>13</v>
      </c>
      <c r="B21" t="s">
        <v>16</v>
      </c>
      <c r="C21" s="18">
        <f>C19*C20</f>
        <v>13574852.1</v>
      </c>
      <c r="D21" s="48" t="str">
        <f>+"Line "&amp;A19&amp;" x Line "&amp;A20</f>
        <v>Line 11 x Line 12</v>
      </c>
    </row>
    <row r="22" spans="1:9" ht="16.5" customHeight="1" x14ac:dyDescent="0.3">
      <c r="A22" s="7"/>
    </row>
    <row r="23" spans="1:9" x14ac:dyDescent="0.3">
      <c r="A23" s="7"/>
      <c r="C23" s="12"/>
      <c r="D23" s="13" t="s">
        <v>22</v>
      </c>
      <c r="E23" s="13"/>
      <c r="F23" s="2"/>
      <c r="G23" s="13" t="s">
        <v>29</v>
      </c>
      <c r="H23" s="13"/>
    </row>
    <row r="24" spans="1:9" ht="12" customHeight="1" x14ac:dyDescent="0.3">
      <c r="A24" s="7"/>
      <c r="C24" s="14" t="s">
        <v>19</v>
      </c>
      <c r="D24" s="14" t="s">
        <v>20</v>
      </c>
      <c r="E24" s="15" t="s">
        <v>21</v>
      </c>
      <c r="F24" s="7"/>
      <c r="G24" s="14" t="s">
        <v>20</v>
      </c>
      <c r="H24" s="15" t="s">
        <v>21</v>
      </c>
    </row>
    <row r="25" spans="1:9" x14ac:dyDescent="0.3">
      <c r="A25" s="7"/>
      <c r="B25" t="s">
        <v>26</v>
      </c>
    </row>
    <row r="26" spans="1:9" x14ac:dyDescent="0.3">
      <c r="A26" s="7">
        <f>+A21+1</f>
        <v>14</v>
      </c>
      <c r="B26" s="9" t="s">
        <v>24</v>
      </c>
      <c r="C26" s="63">
        <f>414*12</f>
        <v>4968</v>
      </c>
      <c r="D26" s="1">
        <v>7.15</v>
      </c>
      <c r="E26" s="3">
        <f>+$C26*D26</f>
        <v>35521.200000000004</v>
      </c>
      <c r="F26" s="4"/>
      <c r="G26" s="59">
        <v>9.1999999999999993</v>
      </c>
      <c r="H26" s="3">
        <f>+$C26*G26</f>
        <v>45705.599999999999</v>
      </c>
      <c r="I26" s="83">
        <f>G26/D26</f>
        <v>1.2867132867132864</v>
      </c>
    </row>
    <row r="27" spans="1:9" x14ac:dyDescent="0.3">
      <c r="A27" s="7">
        <f>+A26+1</f>
        <v>15</v>
      </c>
      <c r="B27" t="s">
        <v>23</v>
      </c>
      <c r="C27" s="63">
        <f>8776*12</f>
        <v>105312</v>
      </c>
      <c r="D27" s="1">
        <v>7.15</v>
      </c>
      <c r="E27" s="3">
        <f>+$C27*D27</f>
        <v>752980.8</v>
      </c>
      <c r="G27">
        <f>+G26</f>
        <v>9.1999999999999993</v>
      </c>
      <c r="H27" s="3">
        <f>+$C27*G27</f>
        <v>968870.39999999991</v>
      </c>
      <c r="I27" s="83">
        <f>G27/D27</f>
        <v>1.2867132867132864</v>
      </c>
    </row>
    <row r="28" spans="1:9" x14ac:dyDescent="0.3">
      <c r="A28" s="7">
        <f>+A27+1</f>
        <v>16</v>
      </c>
      <c r="C28" s="5">
        <f>SUM(C26:C27)</f>
        <v>110280</v>
      </c>
      <c r="E28" s="5">
        <f>SUM(E26:E27)</f>
        <v>788502</v>
      </c>
      <c r="H28" s="5">
        <f>SUM(H26:H27)</f>
        <v>1014575.9999999999</v>
      </c>
    </row>
    <row r="29" spans="1:9" x14ac:dyDescent="0.3">
      <c r="A29" s="7"/>
      <c r="B29" t="s">
        <v>27</v>
      </c>
    </row>
    <row r="30" spans="1:9" x14ac:dyDescent="0.3">
      <c r="A30" s="7">
        <f>+A28+1</f>
        <v>17</v>
      </c>
      <c r="B30" s="9" t="s">
        <v>24</v>
      </c>
      <c r="C30" s="63">
        <v>2258000</v>
      </c>
      <c r="D30" s="10">
        <v>3.28</v>
      </c>
      <c r="E30" s="11">
        <f>+$C30*D30/100</f>
        <v>74062.399999999994</v>
      </c>
      <c r="F30" s="4"/>
      <c r="G30" s="60">
        <f>ROUND(D30*1.288,3)</f>
        <v>4.2249999999999996</v>
      </c>
      <c r="H30" s="11">
        <f>+$C30*G30/100</f>
        <v>95400.5</v>
      </c>
      <c r="I30" s="83">
        <f>G30/D30</f>
        <v>1.288109756097561</v>
      </c>
    </row>
    <row r="31" spans="1:9" x14ac:dyDescent="0.3">
      <c r="A31" s="7">
        <f>+A30+1</f>
        <v>18</v>
      </c>
      <c r="B31" t="s">
        <v>23</v>
      </c>
      <c r="C31" s="63">
        <v>297866000</v>
      </c>
      <c r="D31" s="10">
        <v>3.28</v>
      </c>
      <c r="E31" s="11">
        <f>+$C31*D31/100</f>
        <v>9770004.8000000007</v>
      </c>
      <c r="G31" s="58">
        <f>+G30</f>
        <v>4.2249999999999996</v>
      </c>
      <c r="H31" s="11">
        <f>+$C31*G31/100</f>
        <v>12584838.5</v>
      </c>
      <c r="I31" s="83">
        <f>G31/D31</f>
        <v>1.288109756097561</v>
      </c>
    </row>
    <row r="32" spans="1:9" x14ac:dyDescent="0.3">
      <c r="A32" s="7">
        <f>+A31+1</f>
        <v>19</v>
      </c>
      <c r="C32" s="5">
        <f>SUM(C30:C31)</f>
        <v>300124000</v>
      </c>
      <c r="E32" s="5">
        <f>SUM(E30:E31)</f>
        <v>9844067.2000000011</v>
      </c>
      <c r="H32" s="5">
        <f>SUM(H30:H31)</f>
        <v>12680239</v>
      </c>
    </row>
    <row r="33" spans="1:8" x14ac:dyDescent="0.3">
      <c r="A33" s="7"/>
      <c r="B33" t="s">
        <v>25</v>
      </c>
    </row>
    <row r="34" spans="1:8" x14ac:dyDescent="0.3">
      <c r="A34" s="7">
        <f>+A32+1</f>
        <v>20</v>
      </c>
      <c r="B34" s="9" t="s">
        <v>24</v>
      </c>
      <c r="E34" s="48">
        <f>-5079+1978</f>
        <v>-3101</v>
      </c>
      <c r="H34" s="2">
        <f>+(E34/(E26+E30)*(H26+H30))</f>
        <v>-3993.0246505864015</v>
      </c>
    </row>
    <row r="35" spans="1:8" x14ac:dyDescent="0.3">
      <c r="A35" s="7">
        <f>+A34+1</f>
        <v>21</v>
      </c>
      <c r="B35" t="s">
        <v>23</v>
      </c>
      <c r="E35" s="48">
        <f>-169038+79087</f>
        <v>-89951</v>
      </c>
      <c r="H35" s="2">
        <f>+(E35/(E27+E31)*(H27+H31))</f>
        <v>-115857.77227176857</v>
      </c>
    </row>
    <row r="36" spans="1:8" x14ac:dyDescent="0.3">
      <c r="A36" s="7">
        <f>+A35+1</f>
        <v>22</v>
      </c>
      <c r="E36" s="5">
        <f>SUM(E34:E35)</f>
        <v>-93052</v>
      </c>
      <c r="H36" s="5">
        <f>SUM(H34:H35)</f>
        <v>-119850.79692235497</v>
      </c>
    </row>
    <row r="37" spans="1:8" ht="15" thickBot="1" x14ac:dyDescent="0.35">
      <c r="A37" s="7">
        <f>+A36+1</f>
        <v>23</v>
      </c>
      <c r="B37" t="s">
        <v>28</v>
      </c>
      <c r="E37" s="16">
        <f>+E28+E32+E36</f>
        <v>10539517.200000001</v>
      </c>
      <c r="F37" s="51" t="s">
        <v>72</v>
      </c>
      <c r="H37" s="16">
        <f>+H28+H32+H36</f>
        <v>13574964.203077644</v>
      </c>
    </row>
    <row r="38" spans="1:8" ht="15" thickTop="1" x14ac:dyDescent="0.3">
      <c r="A38" s="7">
        <f>+A37+1</f>
        <v>24</v>
      </c>
      <c r="B38" t="s">
        <v>31</v>
      </c>
      <c r="H38" s="3">
        <f>+H37-C21</f>
        <v>112.10307764448225</v>
      </c>
    </row>
    <row r="39" spans="1:8" x14ac:dyDescent="0.3">
      <c r="A39" s="7">
        <f>+A38+1</f>
        <v>25</v>
      </c>
      <c r="B39" t="s">
        <v>30</v>
      </c>
      <c r="E39" s="82">
        <f>+(C21/E37)-1</f>
        <v>0.28799563038807863</v>
      </c>
      <c r="H39" s="6">
        <f>+(H37/E37)-1</f>
        <v>0.28800626684091779</v>
      </c>
    </row>
    <row r="42" spans="1:8" x14ac:dyDescent="0.3">
      <c r="A42" s="7"/>
      <c r="B42" s="8" t="s">
        <v>34</v>
      </c>
    </row>
    <row r="43" spans="1:8" x14ac:dyDescent="0.3">
      <c r="A43" s="7">
        <f>+A39+1</f>
        <v>26</v>
      </c>
      <c r="B43" t="s">
        <v>32</v>
      </c>
      <c r="C43" s="64">
        <v>422054</v>
      </c>
      <c r="D43" s="48" t="s">
        <v>33</v>
      </c>
    </row>
    <row r="44" spans="1:8" x14ac:dyDescent="0.3">
      <c r="A44" s="7">
        <f>+A43+1</f>
        <v>27</v>
      </c>
      <c r="B44" t="s">
        <v>15</v>
      </c>
      <c r="C44" s="6">
        <v>1.05</v>
      </c>
    </row>
    <row r="45" spans="1:8" ht="16.5" customHeight="1" x14ac:dyDescent="0.3">
      <c r="A45" s="7">
        <f>+A44+1</f>
        <v>28</v>
      </c>
      <c r="B45" t="s">
        <v>16</v>
      </c>
      <c r="C45" s="2">
        <f>+C43*C44</f>
        <v>443156.7</v>
      </c>
    </row>
    <row r="46" spans="1:8" x14ac:dyDescent="0.3">
      <c r="A46" s="7"/>
      <c r="C46" s="12"/>
      <c r="D46" s="13" t="s">
        <v>22</v>
      </c>
      <c r="E46" s="13"/>
      <c r="F46" s="2"/>
      <c r="G46" s="13" t="s">
        <v>29</v>
      </c>
      <c r="H46" s="13"/>
    </row>
    <row r="47" spans="1:8" ht="12" customHeight="1" x14ac:dyDescent="0.3">
      <c r="A47" s="7"/>
      <c r="C47" s="14" t="s">
        <v>19</v>
      </c>
      <c r="D47" s="14" t="s">
        <v>20</v>
      </c>
      <c r="E47" s="15" t="s">
        <v>21</v>
      </c>
      <c r="F47" s="7"/>
      <c r="G47" s="14" t="s">
        <v>20</v>
      </c>
      <c r="H47" s="15" t="s">
        <v>21</v>
      </c>
    </row>
    <row r="48" spans="1:8" x14ac:dyDescent="0.3">
      <c r="A48" s="7"/>
    </row>
    <row r="49" spans="1:9" x14ac:dyDescent="0.3">
      <c r="A49" s="7">
        <f>+A45+1</f>
        <v>29</v>
      </c>
      <c r="B49" t="s">
        <v>26</v>
      </c>
      <c r="C49" s="63">
        <f>472*12</f>
        <v>5664</v>
      </c>
      <c r="D49" s="1">
        <v>10.45</v>
      </c>
      <c r="E49" s="3">
        <f>+$C49*D49</f>
        <v>59188.799999999996</v>
      </c>
      <c r="F49" s="4"/>
      <c r="G49" s="61">
        <v>13.4</v>
      </c>
      <c r="H49" s="3">
        <f>+$C49*G49</f>
        <v>75897.600000000006</v>
      </c>
      <c r="I49" s="83">
        <f>G49/D49</f>
        <v>1.2822966507177034</v>
      </c>
    </row>
    <row r="50" spans="1:9" x14ac:dyDescent="0.3">
      <c r="A50" s="7">
        <f>+A49+1</f>
        <v>30</v>
      </c>
      <c r="B50" t="s">
        <v>27</v>
      </c>
      <c r="C50" s="63">
        <v>5537410</v>
      </c>
      <c r="D50" s="10">
        <v>5.24</v>
      </c>
      <c r="E50" s="11">
        <f>+$C50*D50/100</f>
        <v>290160.28400000004</v>
      </c>
      <c r="F50" s="4"/>
      <c r="G50" s="65">
        <v>6.7210000000000001</v>
      </c>
      <c r="H50" s="11">
        <f>+$C50*G50/100</f>
        <v>372169.32610000001</v>
      </c>
      <c r="I50" s="83">
        <f>G50/D50</f>
        <v>1.2826335877862596</v>
      </c>
    </row>
    <row r="51" spans="1:9" x14ac:dyDescent="0.3">
      <c r="A51" s="7">
        <f>+A50+1</f>
        <v>31</v>
      </c>
      <c r="B51" t="s">
        <v>25</v>
      </c>
      <c r="E51" s="48">
        <f>-7437+3611</f>
        <v>-3826</v>
      </c>
      <c r="F51" s="17"/>
      <c r="H51" s="2">
        <f>+(E51/(E49+E50)*(H49+H50))</f>
        <v>-4907.1376962837548</v>
      </c>
    </row>
    <row r="52" spans="1:9" ht="15" thickBot="1" x14ac:dyDescent="0.35">
      <c r="A52" s="7">
        <f>+A51+1</f>
        <v>32</v>
      </c>
      <c r="B52" t="s">
        <v>28</v>
      </c>
      <c r="E52" s="16">
        <f>+E49+E50+E51</f>
        <v>345523.08400000003</v>
      </c>
      <c r="F52" s="52" t="s">
        <v>72</v>
      </c>
      <c r="H52" s="16">
        <f>+H49+H50+H51</f>
        <v>443159.78840371629</v>
      </c>
    </row>
    <row r="53" spans="1:9" ht="15" thickTop="1" x14ac:dyDescent="0.3">
      <c r="A53" s="7">
        <f>+A52+1</f>
        <v>33</v>
      </c>
      <c r="B53" t="s">
        <v>31</v>
      </c>
      <c r="H53" s="3">
        <f>+H52-C45</f>
        <v>3.0884037162759341</v>
      </c>
    </row>
    <row r="54" spans="1:9" x14ac:dyDescent="0.3">
      <c r="A54" s="7">
        <f>+A53+1</f>
        <v>34</v>
      </c>
      <c r="B54" t="s">
        <v>30</v>
      </c>
      <c r="E54" s="82">
        <f>+(C45/E52)-1</f>
        <v>0.28256756356110779</v>
      </c>
      <c r="H54" s="6">
        <f>+(H52/E52)-1</f>
        <v>0.28257650190375205</v>
      </c>
    </row>
    <row r="56" spans="1:9" x14ac:dyDescent="0.3">
      <c r="A56" s="7"/>
      <c r="B56" s="8" t="s">
        <v>35</v>
      </c>
    </row>
    <row r="57" spans="1:9" x14ac:dyDescent="0.3">
      <c r="A57" s="7">
        <f>+A53+1</f>
        <v>34</v>
      </c>
      <c r="B57" t="s">
        <v>32</v>
      </c>
      <c r="C57" s="64">
        <v>2248490</v>
      </c>
      <c r="D57" s="48" t="s">
        <v>68</v>
      </c>
    </row>
    <row r="58" spans="1:9" x14ac:dyDescent="0.3">
      <c r="A58" s="7">
        <f>+A57+1</f>
        <v>35</v>
      </c>
      <c r="B58" t="s">
        <v>15</v>
      </c>
      <c r="C58" s="6">
        <v>1.1035622739083899</v>
      </c>
    </row>
    <row r="59" spans="1:9" ht="16.5" customHeight="1" x14ac:dyDescent="0.3">
      <c r="A59" s="7">
        <f>+A58+1</f>
        <v>36</v>
      </c>
      <c r="B59" t="s">
        <v>16</v>
      </c>
      <c r="C59" s="2">
        <f>+C57*C58</f>
        <v>2481348.7372602755</v>
      </c>
    </row>
    <row r="61" spans="1:9" x14ac:dyDescent="0.3">
      <c r="C61" s="12"/>
      <c r="D61" s="13" t="s">
        <v>22</v>
      </c>
      <c r="E61" s="13"/>
      <c r="F61" s="2"/>
      <c r="G61" s="13" t="s">
        <v>29</v>
      </c>
      <c r="H61" s="13"/>
    </row>
    <row r="62" spans="1:9" x14ac:dyDescent="0.3">
      <c r="A62" s="7"/>
      <c r="B62" s="8"/>
      <c r="C62" s="14" t="s">
        <v>19</v>
      </c>
      <c r="D62" s="14" t="s">
        <v>20</v>
      </c>
      <c r="E62" s="15" t="s">
        <v>21</v>
      </c>
      <c r="F62" s="7"/>
      <c r="G62" s="14" t="s">
        <v>20</v>
      </c>
      <c r="H62" s="15" t="s">
        <v>21</v>
      </c>
    </row>
    <row r="63" spans="1:9" x14ac:dyDescent="0.3">
      <c r="A63">
        <f>+A59+1</f>
        <v>37</v>
      </c>
      <c r="B63" t="s">
        <v>36</v>
      </c>
      <c r="C63" s="49">
        <v>67498510</v>
      </c>
      <c r="D63" s="10">
        <v>2.4329999999999998</v>
      </c>
      <c r="E63" s="19">
        <f>+$C63*D63/100</f>
        <v>1642238.7482999999</v>
      </c>
      <c r="F63" s="20"/>
      <c r="G63" s="60">
        <v>2.89</v>
      </c>
      <c r="H63" s="19">
        <f>+$C63*G63/100</f>
        <v>1950706.939</v>
      </c>
      <c r="I63" s="83">
        <f>G63/D63</f>
        <v>1.1878339498561448</v>
      </c>
    </row>
    <row r="64" spans="1:9" x14ac:dyDescent="0.3">
      <c r="A64">
        <f>+A63+1</f>
        <v>38</v>
      </c>
      <c r="B64" t="s">
        <v>37</v>
      </c>
      <c r="C64" s="48">
        <v>207060</v>
      </c>
      <c r="D64" s="1">
        <v>2.2000000000000002</v>
      </c>
      <c r="E64" s="2">
        <f>+$C64*D64</f>
        <v>455532.00000000006</v>
      </c>
      <c r="G64" s="59">
        <v>2.6</v>
      </c>
      <c r="H64" s="2">
        <f>+$C64*G64</f>
        <v>538356</v>
      </c>
      <c r="I64" s="83">
        <f>G64/D64</f>
        <v>1.1818181818181817</v>
      </c>
    </row>
    <row r="65" spans="1:8" x14ac:dyDescent="0.3">
      <c r="A65">
        <f t="shared" ref="A65:A72" si="1">+A64+1</f>
        <v>39</v>
      </c>
      <c r="B65" t="s">
        <v>38</v>
      </c>
      <c r="C65" s="48">
        <v>90180</v>
      </c>
      <c r="D65" s="1">
        <v>6.8</v>
      </c>
      <c r="E65" s="19">
        <f>+$C65*D65/100</f>
        <v>6132.24</v>
      </c>
      <c r="G65" s="4">
        <f>+D65</f>
        <v>6.8</v>
      </c>
      <c r="H65" s="19">
        <f>+$C65*G65/100</f>
        <v>6132.24</v>
      </c>
    </row>
    <row r="66" spans="1:8" x14ac:dyDescent="0.3">
      <c r="A66">
        <f t="shared" si="1"/>
        <v>40</v>
      </c>
      <c r="B66" t="s">
        <v>42</v>
      </c>
      <c r="C66" s="48">
        <f>SUM('[2]Det Rev Production Curr Rates'!$E$232:$P$232)</f>
        <v>59</v>
      </c>
      <c r="D66" s="1">
        <v>20</v>
      </c>
      <c r="E66" s="2">
        <f>+$C66*D66</f>
        <v>1180</v>
      </c>
      <c r="G66" s="4">
        <f>+D66</f>
        <v>20</v>
      </c>
      <c r="H66" s="2">
        <f>+$C66*G66</f>
        <v>1180</v>
      </c>
    </row>
    <row r="67" spans="1:8" x14ac:dyDescent="0.3">
      <c r="A67">
        <f t="shared" si="1"/>
        <v>41</v>
      </c>
      <c r="B67" t="s">
        <v>39</v>
      </c>
      <c r="C67" s="48">
        <f>E67/D67</f>
        <v>5660.9523809523807</v>
      </c>
      <c r="D67" s="50">
        <v>1.05</v>
      </c>
      <c r="E67" s="49">
        <v>5944</v>
      </c>
      <c r="G67" s="4">
        <f>+D67</f>
        <v>1.05</v>
      </c>
      <c r="H67" s="2">
        <f>+$C67*G67</f>
        <v>5944</v>
      </c>
    </row>
    <row r="68" spans="1:8" x14ac:dyDescent="0.3">
      <c r="A68">
        <f t="shared" si="1"/>
        <v>42</v>
      </c>
      <c r="B68" t="s">
        <v>40</v>
      </c>
      <c r="C68" s="48">
        <f>E68/D68</f>
        <v>10116</v>
      </c>
      <c r="D68" s="18">
        <v>-0.25</v>
      </c>
      <c r="E68" s="2">
        <f>-2529</f>
        <v>-2529</v>
      </c>
      <c r="G68" s="4">
        <f>+D68</f>
        <v>-0.25</v>
      </c>
      <c r="H68" s="2">
        <f>+$C68*G68</f>
        <v>-2529</v>
      </c>
    </row>
    <row r="69" spans="1:8" x14ac:dyDescent="0.3">
      <c r="A69">
        <f t="shared" si="1"/>
        <v>43</v>
      </c>
      <c r="B69" t="s">
        <v>25</v>
      </c>
      <c r="E69" s="48">
        <f>-31001+15179</f>
        <v>-15822</v>
      </c>
      <c r="H69" s="1">
        <f>+(E69/(SUM(E63:E68)))*SUM(H63:H68)</f>
        <v>-18758.225254000354</v>
      </c>
    </row>
    <row r="70" spans="1:8" ht="15" thickBot="1" x14ac:dyDescent="0.35">
      <c r="A70">
        <f t="shared" si="1"/>
        <v>44</v>
      </c>
      <c r="B70" t="s">
        <v>41</v>
      </c>
      <c r="E70" s="21">
        <f>SUM(E63:E69)</f>
        <v>2092675.9883000003</v>
      </c>
      <c r="F70" s="52" t="s">
        <v>72</v>
      </c>
      <c r="H70" s="21">
        <f>SUM(H63:H69)</f>
        <v>2481031.9537460003</v>
      </c>
    </row>
    <row r="71" spans="1:8" ht="15" thickTop="1" x14ac:dyDescent="0.3">
      <c r="A71">
        <f t="shared" si="1"/>
        <v>45</v>
      </c>
      <c r="B71" t="s">
        <v>31</v>
      </c>
      <c r="H71" s="3">
        <f>+H70-C59</f>
        <v>-316.78351427521557</v>
      </c>
    </row>
    <row r="72" spans="1:8" x14ac:dyDescent="0.3">
      <c r="A72">
        <f t="shared" si="1"/>
        <v>46</v>
      </c>
      <c r="B72" t="s">
        <v>30</v>
      </c>
      <c r="E72" s="86">
        <f>+(C59/E70)-1</f>
        <v>0.18573001799290312</v>
      </c>
      <c r="H72" s="6">
        <f>+(H70/E70)-1</f>
        <v>0.18557864075340369</v>
      </c>
    </row>
    <row r="73" spans="1:8" x14ac:dyDescent="0.3">
      <c r="E73" t="s">
        <v>75</v>
      </c>
    </row>
    <row r="74" spans="1:8" x14ac:dyDescent="0.3">
      <c r="A74" s="7"/>
      <c r="B74" s="8" t="s">
        <v>44</v>
      </c>
    </row>
    <row r="75" spans="1:8" x14ac:dyDescent="0.3">
      <c r="A75" s="7">
        <f>+A71+1</f>
        <v>46</v>
      </c>
      <c r="B75" t="s">
        <v>32</v>
      </c>
      <c r="C75" s="64">
        <v>3327513</v>
      </c>
      <c r="D75" s="48" t="s">
        <v>69</v>
      </c>
    </row>
    <row r="76" spans="1:8" x14ac:dyDescent="0.3">
      <c r="A76" s="7">
        <f>+A75+1</f>
        <v>47</v>
      </c>
      <c r="B76" t="s">
        <v>15</v>
      </c>
      <c r="C76" s="6">
        <v>1.1035622739083899</v>
      </c>
    </row>
    <row r="77" spans="1:8" ht="16.5" customHeight="1" x14ac:dyDescent="0.3">
      <c r="A77" s="7">
        <f>+A76+1</f>
        <v>48</v>
      </c>
      <c r="B77" t="s">
        <v>16</v>
      </c>
      <c r="C77" s="2">
        <f>+C75*C76</f>
        <v>3672117.812739728</v>
      </c>
      <c r="F77" s="7"/>
    </row>
    <row r="79" spans="1:8" x14ac:dyDescent="0.3">
      <c r="C79" s="12"/>
      <c r="D79" s="13" t="s">
        <v>22</v>
      </c>
      <c r="E79" s="13"/>
      <c r="F79" s="2"/>
      <c r="G79" s="13" t="s">
        <v>29</v>
      </c>
      <c r="H79" s="13"/>
    </row>
    <row r="80" spans="1:8" x14ac:dyDescent="0.3">
      <c r="A80" s="45"/>
      <c r="B80" s="8"/>
      <c r="C80" s="14" t="s">
        <v>19</v>
      </c>
      <c r="D80" s="14" t="s">
        <v>20</v>
      </c>
      <c r="E80" s="15" t="s">
        <v>21</v>
      </c>
      <c r="G80" s="14" t="s">
        <v>20</v>
      </c>
      <c r="H80" s="15" t="s">
        <v>21</v>
      </c>
    </row>
    <row r="81" spans="1:8" x14ac:dyDescent="0.3">
      <c r="A81" s="45">
        <f>+A77+1</f>
        <v>49</v>
      </c>
      <c r="B81" t="s">
        <v>36</v>
      </c>
      <c r="C81" s="48">
        <v>109912220</v>
      </c>
      <c r="D81" s="10">
        <v>2.1030000000000002</v>
      </c>
      <c r="E81" s="19">
        <f>+$C81*D81/100</f>
        <v>2311453.9866000004</v>
      </c>
      <c r="F81" s="20"/>
      <c r="G81" s="60">
        <v>2.617</v>
      </c>
      <c r="H81" s="19">
        <f>+$C81*G81/100</f>
        <v>2876402.7974</v>
      </c>
    </row>
    <row r="82" spans="1:8" x14ac:dyDescent="0.3">
      <c r="A82" s="45">
        <f>+A81+1</f>
        <v>50</v>
      </c>
      <c r="B82" t="s">
        <v>37</v>
      </c>
      <c r="C82" s="48">
        <v>327670</v>
      </c>
      <c r="D82" s="1">
        <v>2</v>
      </c>
      <c r="E82" s="2">
        <f>+$C82*D82</f>
        <v>655340</v>
      </c>
      <c r="G82" s="59">
        <v>2.5</v>
      </c>
      <c r="H82" s="2">
        <f>+$C82*G82</f>
        <v>819175</v>
      </c>
    </row>
    <row r="83" spans="1:8" x14ac:dyDescent="0.3">
      <c r="A83" s="45">
        <f t="shared" ref="A83:A90" si="2">+A82+1</f>
        <v>51</v>
      </c>
      <c r="B83" t="s">
        <v>38</v>
      </c>
      <c r="C83" s="48">
        <v>62200</v>
      </c>
      <c r="D83" s="1">
        <v>6.8</v>
      </c>
      <c r="E83" s="19">
        <f>+$C83*D83/100</f>
        <v>4229.6000000000004</v>
      </c>
      <c r="G83" s="4">
        <f>+D83</f>
        <v>6.8</v>
      </c>
      <c r="H83" s="19">
        <f>+$C83*G83/100</f>
        <v>4229.6000000000004</v>
      </c>
    </row>
    <row r="84" spans="1:8" x14ac:dyDescent="0.3">
      <c r="A84" s="45">
        <f t="shared" si="2"/>
        <v>52</v>
      </c>
      <c r="B84" t="s">
        <v>42</v>
      </c>
      <c r="C84" s="47"/>
      <c r="D84" s="1"/>
      <c r="E84" s="2">
        <f>+$C84*D84</f>
        <v>0</v>
      </c>
      <c r="G84" s="4">
        <f>+D84</f>
        <v>0</v>
      </c>
      <c r="H84" s="2">
        <f>+$C84*G84</f>
        <v>0</v>
      </c>
    </row>
    <row r="85" spans="1:8" x14ac:dyDescent="0.3">
      <c r="A85" s="45">
        <f t="shared" si="2"/>
        <v>53</v>
      </c>
      <c r="B85" t="s">
        <v>43</v>
      </c>
      <c r="C85" s="48">
        <f>E85/D85</f>
        <v>11482.857142857143</v>
      </c>
      <c r="D85" s="1">
        <v>1.05</v>
      </c>
      <c r="E85" s="2">
        <v>12057</v>
      </c>
      <c r="G85" s="4">
        <f>+D85</f>
        <v>1.05</v>
      </c>
      <c r="H85" s="2">
        <f>+$C85*G85</f>
        <v>12057</v>
      </c>
    </row>
    <row r="86" spans="1:8" x14ac:dyDescent="0.3">
      <c r="A86" s="45">
        <f t="shared" si="2"/>
        <v>54</v>
      </c>
      <c r="B86" t="s">
        <v>40</v>
      </c>
      <c r="C86" s="48">
        <f>E86/D86</f>
        <v>50800</v>
      </c>
      <c r="D86" s="18">
        <v>-0.25</v>
      </c>
      <c r="E86" s="2">
        <v>-12700</v>
      </c>
      <c r="G86" s="4">
        <f>+D86</f>
        <v>-0.25</v>
      </c>
      <c r="H86" s="2">
        <f>+$C86*G86</f>
        <v>-12700</v>
      </c>
    </row>
    <row r="87" spans="1:8" x14ac:dyDescent="0.3">
      <c r="A87" s="45">
        <f t="shared" si="2"/>
        <v>55</v>
      </c>
      <c r="B87" t="s">
        <v>25</v>
      </c>
      <c r="E87" s="48">
        <f>-44822+23284</f>
        <v>-21538</v>
      </c>
      <c r="H87" s="1">
        <f>+(E87/(SUM(E81:E86)))*SUM(H81:H86)</f>
        <v>-26822.355071474933</v>
      </c>
    </row>
    <row r="88" spans="1:8" ht="15" thickBot="1" x14ac:dyDescent="0.35">
      <c r="A88" s="45">
        <f t="shared" si="2"/>
        <v>56</v>
      </c>
      <c r="B88" t="s">
        <v>41</v>
      </c>
      <c r="E88" s="21">
        <f>SUM(E81:E87)</f>
        <v>2948842.5866000005</v>
      </c>
      <c r="F88" s="52" t="s">
        <v>72</v>
      </c>
      <c r="H88" s="21">
        <f>SUM(H81:H87)</f>
        <v>3672342.0423285253</v>
      </c>
    </row>
    <row r="89" spans="1:8" ht="15" thickTop="1" x14ac:dyDescent="0.3">
      <c r="A89" s="45">
        <f t="shared" si="2"/>
        <v>57</v>
      </c>
      <c r="B89" t="s">
        <v>31</v>
      </c>
      <c r="H89" s="3">
        <f>+H88-C77</f>
        <v>224.22958879731596</v>
      </c>
    </row>
    <row r="90" spans="1:8" x14ac:dyDescent="0.3">
      <c r="A90" s="45">
        <f t="shared" si="2"/>
        <v>58</v>
      </c>
      <c r="B90" t="s">
        <v>30</v>
      </c>
      <c r="E90" s="22">
        <f>+(C77/E88)-1</f>
        <v>0.2452742745327956</v>
      </c>
      <c r="H90" s="6">
        <f>+(H88/E88)-1</f>
        <v>0.24535031439664468</v>
      </c>
    </row>
    <row r="91" spans="1:8" x14ac:dyDescent="0.3">
      <c r="A91" s="45"/>
    </row>
    <row r="92" spans="1:8" x14ac:dyDescent="0.3">
      <c r="A92" s="45"/>
    </row>
    <row r="93" spans="1:8" x14ac:dyDescent="0.3">
      <c r="A93" s="45"/>
      <c r="B93" s="8" t="s">
        <v>45</v>
      </c>
    </row>
    <row r="94" spans="1:8" x14ac:dyDescent="0.3">
      <c r="A94" s="45">
        <f>+A90+1</f>
        <v>59</v>
      </c>
      <c r="B94" t="s">
        <v>32</v>
      </c>
      <c r="C94" s="64">
        <v>2318013</v>
      </c>
      <c r="D94" s="48" t="s">
        <v>70</v>
      </c>
    </row>
    <row r="95" spans="1:8" x14ac:dyDescent="0.3">
      <c r="A95" s="45">
        <f>+A94+1</f>
        <v>60</v>
      </c>
      <c r="B95" t="s">
        <v>15</v>
      </c>
      <c r="C95" s="6">
        <v>1.1000000000000001</v>
      </c>
      <c r="H95" s="4"/>
    </row>
    <row r="96" spans="1:8" ht="16.5" customHeight="1" x14ac:dyDescent="0.3">
      <c r="A96" s="45">
        <f>+A95+1</f>
        <v>61</v>
      </c>
      <c r="B96" t="s">
        <v>16</v>
      </c>
      <c r="C96" s="2">
        <f>+C94*C95</f>
        <v>2549814.3000000003</v>
      </c>
    </row>
    <row r="97" spans="1:9" x14ac:dyDescent="0.3">
      <c r="A97" s="45"/>
    </row>
    <row r="98" spans="1:9" x14ac:dyDescent="0.3">
      <c r="A98" s="45"/>
      <c r="C98" s="12"/>
      <c r="D98" s="13" t="s">
        <v>22</v>
      </c>
      <c r="E98" s="13"/>
      <c r="F98" s="2"/>
      <c r="G98" s="87" t="s">
        <v>29</v>
      </c>
      <c r="H98" s="87"/>
    </row>
    <row r="99" spans="1:9" x14ac:dyDescent="0.3">
      <c r="A99" s="45"/>
      <c r="B99" s="8"/>
      <c r="C99" s="14" t="s">
        <v>19</v>
      </c>
      <c r="D99" s="14" t="s">
        <v>20</v>
      </c>
      <c r="E99" s="15" t="s">
        <v>21</v>
      </c>
      <c r="F99" s="7"/>
      <c r="G99" s="88" t="s">
        <v>20</v>
      </c>
      <c r="H99" s="89" t="s">
        <v>21</v>
      </c>
    </row>
    <row r="100" spans="1:9" x14ac:dyDescent="0.3">
      <c r="A100" s="45">
        <f>+A96+1</f>
        <v>62</v>
      </c>
      <c r="B100" t="s">
        <v>36</v>
      </c>
      <c r="C100" s="49">
        <f>79753000-21911000+45450000</f>
        <v>103292000</v>
      </c>
      <c r="D100" s="10">
        <v>1.7330000000000001</v>
      </c>
      <c r="E100" s="19">
        <f>+$C100*D100/100</f>
        <v>1790050.36</v>
      </c>
      <c r="F100" s="20"/>
      <c r="G100" s="90">
        <v>2.137</v>
      </c>
      <c r="H100" s="91">
        <f>+$C100*G100/100</f>
        <v>2207350.04</v>
      </c>
    </row>
    <row r="101" spans="1:9" x14ac:dyDescent="0.3">
      <c r="A101" s="45">
        <f>+A100+1</f>
        <v>63</v>
      </c>
      <c r="B101" t="s">
        <v>37</v>
      </c>
      <c r="C101" s="48">
        <f>159808</f>
        <v>159808</v>
      </c>
      <c r="D101" s="1">
        <v>1.75</v>
      </c>
      <c r="E101" s="2">
        <f>+$C101*D101</f>
        <v>279664</v>
      </c>
      <c r="F101" s="4"/>
      <c r="G101" s="92">
        <v>2.4</v>
      </c>
      <c r="H101" s="93">
        <f>+$C101*G101</f>
        <v>383539.20000000001</v>
      </c>
    </row>
    <row r="102" spans="1:9" x14ac:dyDescent="0.3">
      <c r="A102" s="45">
        <f t="shared" ref="A102:A109" si="3">+A101+1</f>
        <v>64</v>
      </c>
      <c r="B102" t="s">
        <v>38</v>
      </c>
      <c r="C102" s="84"/>
      <c r="D102" s="1">
        <v>6.8</v>
      </c>
      <c r="E102" s="19">
        <f>+$C102*D102/100</f>
        <v>0</v>
      </c>
      <c r="G102" s="94">
        <f>+D102</f>
        <v>6.8</v>
      </c>
      <c r="H102" s="91">
        <f>+$C102*G102/100</f>
        <v>0</v>
      </c>
    </row>
    <row r="103" spans="1:9" s="77" customFormat="1" x14ac:dyDescent="0.3">
      <c r="A103" s="76">
        <f t="shared" si="3"/>
        <v>65</v>
      </c>
      <c r="B103" s="77" t="s">
        <v>42</v>
      </c>
      <c r="C103" s="85"/>
      <c r="D103" s="78"/>
      <c r="E103" s="79">
        <f>+$C103*D103</f>
        <v>0</v>
      </c>
      <c r="G103" s="94">
        <f>+D103</f>
        <v>0</v>
      </c>
      <c r="H103" s="93">
        <f>+$C103*G103</f>
        <v>0</v>
      </c>
      <c r="I103" s="55"/>
    </row>
    <row r="104" spans="1:9" x14ac:dyDescent="0.3">
      <c r="A104" s="45">
        <f t="shared" si="3"/>
        <v>66</v>
      </c>
      <c r="B104" t="s">
        <v>43</v>
      </c>
      <c r="C104" s="47"/>
      <c r="D104" s="1">
        <v>1.05</v>
      </c>
      <c r="E104" s="2">
        <f>+$C104*D104</f>
        <v>0</v>
      </c>
      <c r="G104" s="94">
        <f>+D104</f>
        <v>1.05</v>
      </c>
      <c r="H104" s="93">
        <f>+$C104*G104</f>
        <v>0</v>
      </c>
    </row>
    <row r="105" spans="1:9" x14ac:dyDescent="0.3">
      <c r="A105" s="45">
        <f t="shared" si="3"/>
        <v>67</v>
      </c>
      <c r="B105" t="s">
        <v>40</v>
      </c>
      <c r="C105" s="48">
        <f>E105/D105</f>
        <v>128312</v>
      </c>
      <c r="D105" s="18">
        <v>-0.25</v>
      </c>
      <c r="E105" s="2">
        <v>-32078</v>
      </c>
      <c r="G105" s="94">
        <f>+D105</f>
        <v>-0.25</v>
      </c>
      <c r="H105" s="93">
        <f>+$C105*G105</f>
        <v>-32078</v>
      </c>
    </row>
    <row r="106" spans="1:9" x14ac:dyDescent="0.3">
      <c r="A106" s="45">
        <f t="shared" si="3"/>
        <v>68</v>
      </c>
      <c r="B106" t="s">
        <v>25</v>
      </c>
      <c r="E106" s="48">
        <f>-17082+10043</f>
        <v>-7039</v>
      </c>
      <c r="G106" s="95"/>
      <c r="H106" s="96">
        <f>+(E106/(SUM(E100:E105)))*SUM(H100:H105)</f>
        <v>-8839.3948360638788</v>
      </c>
    </row>
    <row r="107" spans="1:9" ht="15" thickBot="1" x14ac:dyDescent="0.35">
      <c r="A107" s="45">
        <f t="shared" si="3"/>
        <v>69</v>
      </c>
      <c r="B107" t="s">
        <v>41</v>
      </c>
      <c r="E107" s="21">
        <f>SUM(E100:E106)</f>
        <v>2030597.36</v>
      </c>
      <c r="F107" s="55" t="s">
        <v>72</v>
      </c>
      <c r="G107" s="95"/>
      <c r="H107" s="97">
        <f>SUM(H100:H106)</f>
        <v>2549971.8451639363</v>
      </c>
    </row>
    <row r="108" spans="1:9" ht="15" thickTop="1" x14ac:dyDescent="0.3">
      <c r="A108" s="45">
        <f t="shared" si="3"/>
        <v>70</v>
      </c>
      <c r="B108" t="s">
        <v>31</v>
      </c>
      <c r="G108" s="95"/>
      <c r="H108" s="98">
        <f>+H107-C96</f>
        <v>157.54516393598169</v>
      </c>
    </row>
    <row r="109" spans="1:9" x14ac:dyDescent="0.3">
      <c r="A109" s="45">
        <f t="shared" si="3"/>
        <v>71</v>
      </c>
      <c r="B109" t="s">
        <v>30</v>
      </c>
      <c r="E109" s="94">
        <f>+(C96/E107)-1</f>
        <v>0.25569664879304299</v>
      </c>
      <c r="G109" s="95"/>
      <c r="H109" s="99">
        <f>+(H107/E107)-1</f>
        <v>0.25577423441737168</v>
      </c>
    </row>
    <row r="110" spans="1:9" x14ac:dyDescent="0.3">
      <c r="A110" s="45"/>
    </row>
    <row r="111" spans="1:9" x14ac:dyDescent="0.3">
      <c r="A111" s="45"/>
      <c r="B111" s="23" t="s">
        <v>10</v>
      </c>
      <c r="D111" s="2" t="s">
        <v>49</v>
      </c>
      <c r="E111" t="s">
        <v>50</v>
      </c>
      <c r="F111" t="s">
        <v>28</v>
      </c>
    </row>
    <row r="112" spans="1:9" x14ac:dyDescent="0.3">
      <c r="A112" s="45"/>
      <c r="B112" s="24" t="s">
        <v>74</v>
      </c>
      <c r="C112" s="24"/>
      <c r="D112" s="25"/>
      <c r="E112" s="25"/>
      <c r="F112" s="25" t="s">
        <v>56</v>
      </c>
      <c r="G112" s="25"/>
      <c r="H112" s="25"/>
      <c r="I112" s="66"/>
    </row>
    <row r="113" spans="1:9" x14ac:dyDescent="0.3">
      <c r="A113" s="45"/>
      <c r="C113"/>
      <c r="D113" t="s">
        <v>57</v>
      </c>
      <c r="E113" t="s">
        <v>58</v>
      </c>
      <c r="F113" t="s">
        <v>59</v>
      </c>
      <c r="G113" t="s">
        <v>60</v>
      </c>
      <c r="H113" t="s">
        <v>61</v>
      </c>
      <c r="I113" s="52" t="s">
        <v>62</v>
      </c>
    </row>
    <row r="114" spans="1:9" x14ac:dyDescent="0.3">
      <c r="A114" s="45">
        <f>+A109+1</f>
        <v>72</v>
      </c>
      <c r="B114" s="35" t="s">
        <v>46</v>
      </c>
      <c r="C114" s="35"/>
      <c r="D114" s="32">
        <v>904</v>
      </c>
      <c r="E114" s="33">
        <v>10</v>
      </c>
      <c r="F114" s="29">
        <f>D114*E114</f>
        <v>9040</v>
      </c>
      <c r="G114" s="29">
        <v>45</v>
      </c>
      <c r="H114" s="29">
        <f>D114*G114</f>
        <v>40680</v>
      </c>
      <c r="I114" s="67"/>
    </row>
    <row r="115" spans="1:9" x14ac:dyDescent="0.3">
      <c r="A115" s="45">
        <f t="shared" ref="A115:A121" si="4">+A114+1</f>
        <v>73</v>
      </c>
      <c r="B115" s="35" t="s">
        <v>51</v>
      </c>
      <c r="C115" s="35"/>
      <c r="D115" s="32">
        <v>0</v>
      </c>
      <c r="E115" s="33">
        <v>0</v>
      </c>
      <c r="F115" s="29">
        <f t="shared" ref="F115:F120" si="5">D115*E115</f>
        <v>0</v>
      </c>
      <c r="G115" s="29">
        <v>67</v>
      </c>
      <c r="H115" s="29">
        <f t="shared" ref="H115:H120" si="6">D115*G115</f>
        <v>0</v>
      </c>
      <c r="I115" s="67"/>
    </row>
    <row r="116" spans="1:9" x14ac:dyDescent="0.3">
      <c r="A116" s="45">
        <f t="shared" si="4"/>
        <v>74</v>
      </c>
      <c r="B116" s="35" t="s">
        <v>52</v>
      </c>
      <c r="C116" s="35"/>
      <c r="D116" s="32">
        <v>0</v>
      </c>
      <c r="E116" s="33">
        <v>0</v>
      </c>
      <c r="F116" s="29">
        <f t="shared" si="5"/>
        <v>0</v>
      </c>
      <c r="G116" s="29">
        <v>99</v>
      </c>
      <c r="H116" s="29">
        <f t="shared" si="6"/>
        <v>0</v>
      </c>
      <c r="I116" s="67"/>
    </row>
    <row r="117" spans="1:9" x14ac:dyDescent="0.3">
      <c r="A117" s="45">
        <f t="shared" si="4"/>
        <v>75</v>
      </c>
      <c r="B117" s="35" t="s">
        <v>53</v>
      </c>
      <c r="C117" s="35"/>
      <c r="D117" s="32">
        <v>12</v>
      </c>
      <c r="E117" s="33">
        <v>23</v>
      </c>
      <c r="F117" s="29">
        <f t="shared" si="5"/>
        <v>276</v>
      </c>
      <c r="G117" s="29">
        <v>166</v>
      </c>
      <c r="H117" s="29">
        <f t="shared" si="6"/>
        <v>1992</v>
      </c>
      <c r="I117" s="67"/>
    </row>
    <row r="118" spans="1:9" x14ac:dyDescent="0.3">
      <c r="A118" s="45">
        <f t="shared" si="4"/>
        <v>76</v>
      </c>
      <c r="B118" s="35" t="s">
        <v>47</v>
      </c>
      <c r="C118" s="35"/>
      <c r="D118" s="32">
        <v>339</v>
      </c>
      <c r="E118" s="33">
        <v>13.5</v>
      </c>
      <c r="F118" s="29">
        <f t="shared" si="5"/>
        <v>4576.5</v>
      </c>
      <c r="G118" s="29">
        <v>99</v>
      </c>
      <c r="H118" s="29">
        <f t="shared" si="6"/>
        <v>33561</v>
      </c>
      <c r="I118" s="67"/>
    </row>
    <row r="119" spans="1:9" x14ac:dyDescent="0.3">
      <c r="A119" s="45">
        <f t="shared" si="4"/>
        <v>77</v>
      </c>
      <c r="B119" s="35" t="s">
        <v>54</v>
      </c>
      <c r="C119" s="35"/>
      <c r="D119" s="32">
        <v>0</v>
      </c>
      <c r="E119" s="33">
        <v>0</v>
      </c>
      <c r="F119" s="29">
        <f t="shared" si="5"/>
        <v>0</v>
      </c>
      <c r="G119" s="29">
        <v>166</v>
      </c>
      <c r="H119" s="29">
        <f t="shared" si="6"/>
        <v>0</v>
      </c>
      <c r="I119" s="67"/>
    </row>
    <row r="120" spans="1:9" x14ac:dyDescent="0.3">
      <c r="A120" s="45">
        <f t="shared" si="4"/>
        <v>78</v>
      </c>
      <c r="B120" s="36" t="s">
        <v>48</v>
      </c>
      <c r="C120" s="36"/>
      <c r="D120" s="32">
        <v>350</v>
      </c>
      <c r="E120" s="33">
        <v>3.4</v>
      </c>
      <c r="F120" s="30">
        <f t="shared" si="5"/>
        <v>1190</v>
      </c>
      <c r="G120" s="30">
        <v>0</v>
      </c>
      <c r="H120" s="30">
        <f t="shared" si="6"/>
        <v>0</v>
      </c>
      <c r="I120" s="68"/>
    </row>
    <row r="121" spans="1:9" x14ac:dyDescent="0.3">
      <c r="A121" s="45">
        <f t="shared" si="4"/>
        <v>79</v>
      </c>
      <c r="B121" s="35"/>
      <c r="C121" s="35"/>
      <c r="D121" s="31">
        <f>SUM(D114:D120)</f>
        <v>1605</v>
      </c>
      <c r="F121" s="28">
        <f>SUM(F114:F120)</f>
        <v>15082.5</v>
      </c>
      <c r="G121" s="29"/>
      <c r="H121" s="28">
        <f>SUM(H114:H120)</f>
        <v>76233</v>
      </c>
      <c r="I121" s="69">
        <f>H121*12/1000</f>
        <v>914.79600000000005</v>
      </c>
    </row>
    <row r="122" spans="1:9" x14ac:dyDescent="0.3">
      <c r="A122" s="45"/>
      <c r="B122" s="35"/>
      <c r="C122" s="35"/>
      <c r="D122" s="26"/>
      <c r="F122" s="29"/>
      <c r="G122" s="29"/>
      <c r="H122" s="29"/>
      <c r="I122" s="67"/>
    </row>
    <row r="123" spans="1:9" x14ac:dyDescent="0.3">
      <c r="A123" s="45"/>
      <c r="B123" s="35"/>
      <c r="C123" s="35"/>
      <c r="D123" s="31"/>
      <c r="F123" s="29"/>
      <c r="G123" s="29"/>
      <c r="H123" s="29"/>
      <c r="I123" s="67"/>
    </row>
    <row r="124" spans="1:9" x14ac:dyDescent="0.3">
      <c r="A124" s="45">
        <f>+A121+1</f>
        <v>80</v>
      </c>
      <c r="B124" t="s">
        <v>55</v>
      </c>
      <c r="C124" s="53">
        <v>931</v>
      </c>
      <c r="D124"/>
    </row>
    <row r="125" spans="1:9" x14ac:dyDescent="0.3">
      <c r="A125" s="45">
        <f>+A124+1</f>
        <v>81</v>
      </c>
      <c r="B125" s="37" t="s">
        <v>63</v>
      </c>
      <c r="C125" s="26"/>
      <c r="D125" s="4">
        <f>H125/G125</f>
        <v>30.007407407407314</v>
      </c>
      <c r="E125" s="34">
        <f>E114</f>
        <v>10</v>
      </c>
      <c r="F125" s="38">
        <f>D125*E125</f>
        <v>300.07407407407311</v>
      </c>
      <c r="G125">
        <v>45</v>
      </c>
      <c r="H125" s="39">
        <f>I125*1000/12</f>
        <v>1350.3333333333292</v>
      </c>
      <c r="I125" s="70">
        <f>C124-I121</f>
        <v>16.203999999999951</v>
      </c>
    </row>
    <row r="126" spans="1:9" x14ac:dyDescent="0.3">
      <c r="A126" s="45"/>
      <c r="B126" s="37"/>
      <c r="C126" s="26"/>
      <c r="D126" s="4"/>
      <c r="E126" s="27"/>
      <c r="F126" s="38"/>
      <c r="H126" s="40"/>
      <c r="I126" s="71"/>
    </row>
    <row r="127" spans="1:9" x14ac:dyDescent="0.3">
      <c r="A127" s="45">
        <f>+A125+1</f>
        <v>82</v>
      </c>
      <c r="B127" s="37" t="s">
        <v>64</v>
      </c>
      <c r="C127" s="26"/>
      <c r="D127" s="4"/>
      <c r="E127" s="27"/>
      <c r="F127" s="41">
        <f>F121+F125</f>
        <v>15382.574074074073</v>
      </c>
      <c r="H127" s="39">
        <f>H121+H125</f>
        <v>77583.333333333328</v>
      </c>
      <c r="I127" s="70">
        <f>I121+I125</f>
        <v>931</v>
      </c>
    </row>
    <row r="128" spans="1:9" x14ac:dyDescent="0.3">
      <c r="A128" s="45"/>
      <c r="B128" s="37"/>
      <c r="C128" s="26"/>
      <c r="D128" s="4"/>
      <c r="E128" s="27"/>
      <c r="F128" s="42"/>
      <c r="H128" s="4"/>
      <c r="I128" s="71"/>
    </row>
    <row r="129" spans="1:9" x14ac:dyDescent="0.3">
      <c r="A129" s="45">
        <f>+A127+1</f>
        <v>83</v>
      </c>
      <c r="B129" s="35" t="s">
        <v>65</v>
      </c>
      <c r="C129" s="53">
        <v>228</v>
      </c>
      <c r="D129"/>
    </row>
    <row r="130" spans="1:9" x14ac:dyDescent="0.3">
      <c r="A130" s="45"/>
    </row>
    <row r="131" spans="1:9" x14ac:dyDescent="0.3">
      <c r="A131" s="45"/>
    </row>
    <row r="132" spans="1:9" x14ac:dyDescent="0.3">
      <c r="A132" s="45"/>
      <c r="B132" s="24" t="s">
        <v>74</v>
      </c>
      <c r="C132" s="24"/>
      <c r="D132" s="25" t="s">
        <v>66</v>
      </c>
      <c r="E132" s="25"/>
      <c r="F132" s="25"/>
      <c r="G132" s="25"/>
      <c r="H132" s="25"/>
      <c r="I132" s="66"/>
    </row>
    <row r="133" spans="1:9" x14ac:dyDescent="0.3">
      <c r="A133" s="45"/>
      <c r="C133"/>
      <c r="D133" t="s">
        <v>57</v>
      </c>
      <c r="E133" t="s">
        <v>58</v>
      </c>
      <c r="F133" t="s">
        <v>59</v>
      </c>
      <c r="G133" t="s">
        <v>60</v>
      </c>
      <c r="H133" t="s">
        <v>61</v>
      </c>
      <c r="I133" s="52" t="s">
        <v>62</v>
      </c>
    </row>
    <row r="134" spans="1:9" x14ac:dyDescent="0.3">
      <c r="A134" s="45">
        <f>+A129+1</f>
        <v>84</v>
      </c>
      <c r="B134" s="35" t="s">
        <v>46</v>
      </c>
      <c r="C134" s="35"/>
      <c r="D134" s="32">
        <v>364</v>
      </c>
      <c r="E134" s="33">
        <f>10*(1+F131)</f>
        <v>10</v>
      </c>
      <c r="F134" s="29">
        <f>D134*E134</f>
        <v>3640</v>
      </c>
      <c r="G134" s="29">
        <v>45</v>
      </c>
      <c r="H134" s="29">
        <f>D134*G134</f>
        <v>16380</v>
      </c>
      <c r="I134" s="67"/>
    </row>
    <row r="135" spans="1:9" x14ac:dyDescent="0.3">
      <c r="A135" s="45">
        <f>+A134+1</f>
        <v>85</v>
      </c>
      <c r="B135" s="35" t="s">
        <v>46</v>
      </c>
      <c r="C135" s="35"/>
      <c r="D135" s="32">
        <v>780</v>
      </c>
      <c r="E135" s="33">
        <f>4.1*(1+F131)</f>
        <v>4.0999999999999996</v>
      </c>
      <c r="F135" s="29">
        <f t="shared" ref="F135:F142" si="7">D135*E135</f>
        <v>3197.9999999999995</v>
      </c>
      <c r="G135" s="29">
        <v>45</v>
      </c>
      <c r="H135" s="29">
        <f t="shared" ref="H135:H142" si="8">D135*G135</f>
        <v>35100</v>
      </c>
      <c r="I135" s="67"/>
    </row>
    <row r="136" spans="1:9" x14ac:dyDescent="0.3">
      <c r="A136" s="45">
        <f>+A135+1</f>
        <v>86</v>
      </c>
      <c r="B136" s="35" t="s">
        <v>46</v>
      </c>
      <c r="C136" s="35"/>
      <c r="D136" s="32">
        <v>141</v>
      </c>
      <c r="E136" s="33">
        <v>6.75</v>
      </c>
      <c r="F136" s="29">
        <f t="shared" si="7"/>
        <v>951.75</v>
      </c>
      <c r="G136" s="29">
        <v>45</v>
      </c>
      <c r="H136" s="29">
        <f t="shared" si="8"/>
        <v>6345</v>
      </c>
      <c r="I136" s="67"/>
    </row>
    <row r="137" spans="1:9" x14ac:dyDescent="0.3">
      <c r="A137" s="45">
        <f t="shared" ref="A137:A142" si="9">+A136+1</f>
        <v>87</v>
      </c>
      <c r="B137" s="35" t="s">
        <v>51</v>
      </c>
      <c r="C137" s="35"/>
      <c r="D137" s="32">
        <v>35</v>
      </c>
      <c r="E137" s="33">
        <f>13.5*(1+F131)</f>
        <v>13.5</v>
      </c>
      <c r="F137" s="29">
        <f t="shared" si="7"/>
        <v>472.5</v>
      </c>
      <c r="G137" s="29">
        <v>67</v>
      </c>
      <c r="H137" s="29">
        <f t="shared" si="8"/>
        <v>2345</v>
      </c>
      <c r="I137" s="67"/>
    </row>
    <row r="138" spans="1:9" x14ac:dyDescent="0.3">
      <c r="A138" s="45">
        <f t="shared" si="9"/>
        <v>88</v>
      </c>
      <c r="B138" s="35" t="s">
        <v>52</v>
      </c>
      <c r="C138" s="35"/>
      <c r="D138" s="32">
        <v>0</v>
      </c>
      <c r="E138" s="33">
        <f>0*(1+F131)</f>
        <v>0</v>
      </c>
      <c r="F138" s="29">
        <f t="shared" si="7"/>
        <v>0</v>
      </c>
      <c r="G138" s="29">
        <v>99</v>
      </c>
      <c r="H138" s="29">
        <f t="shared" si="8"/>
        <v>0</v>
      </c>
      <c r="I138" s="67"/>
    </row>
    <row r="139" spans="1:9" x14ac:dyDescent="0.3">
      <c r="A139" s="45">
        <f t="shared" si="9"/>
        <v>89</v>
      </c>
      <c r="B139" s="35" t="s">
        <v>53</v>
      </c>
      <c r="C139" s="35"/>
      <c r="D139" s="32">
        <v>0</v>
      </c>
      <c r="E139" s="33">
        <f>0*(1+F131)</f>
        <v>0</v>
      </c>
      <c r="F139" s="29">
        <f t="shared" si="7"/>
        <v>0</v>
      </c>
      <c r="G139" s="29">
        <v>166</v>
      </c>
      <c r="H139" s="29">
        <f t="shared" si="8"/>
        <v>0</v>
      </c>
      <c r="I139" s="67"/>
    </row>
    <row r="140" spans="1:9" x14ac:dyDescent="0.3">
      <c r="A140" s="45">
        <f t="shared" si="9"/>
        <v>90</v>
      </c>
      <c r="B140" s="35" t="s">
        <v>47</v>
      </c>
      <c r="C140" s="35"/>
      <c r="D140" s="32">
        <v>40</v>
      </c>
      <c r="E140" s="33">
        <v>13.5</v>
      </c>
      <c r="F140" s="29">
        <f t="shared" si="7"/>
        <v>540</v>
      </c>
      <c r="G140" s="29">
        <v>99</v>
      </c>
      <c r="H140" s="29">
        <f t="shared" si="8"/>
        <v>3960</v>
      </c>
      <c r="I140" s="67"/>
    </row>
    <row r="141" spans="1:9" x14ac:dyDescent="0.3">
      <c r="A141" s="45">
        <f t="shared" si="9"/>
        <v>91</v>
      </c>
      <c r="B141" s="35" t="s">
        <v>54</v>
      </c>
      <c r="C141" s="35"/>
      <c r="D141" s="32"/>
      <c r="E141" s="33">
        <f>0*(1+F131)</f>
        <v>0</v>
      </c>
      <c r="F141" s="29">
        <f t="shared" si="7"/>
        <v>0</v>
      </c>
      <c r="G141" s="29">
        <v>166</v>
      </c>
      <c r="H141" s="29">
        <f t="shared" si="8"/>
        <v>0</v>
      </c>
      <c r="I141" s="67"/>
    </row>
    <row r="142" spans="1:9" x14ac:dyDescent="0.3">
      <c r="A142" s="45">
        <f t="shared" si="9"/>
        <v>92</v>
      </c>
      <c r="B142" s="36" t="s">
        <v>48</v>
      </c>
      <c r="C142" s="36"/>
      <c r="D142" s="32">
        <v>12</v>
      </c>
      <c r="E142" s="33">
        <f>3.4*(1+F131)</f>
        <v>3.4</v>
      </c>
      <c r="F142" s="30">
        <f t="shared" si="7"/>
        <v>40.799999999999997</v>
      </c>
      <c r="G142" s="30">
        <v>0</v>
      </c>
      <c r="H142" s="30">
        <f t="shared" si="8"/>
        <v>0</v>
      </c>
      <c r="I142" s="68"/>
    </row>
    <row r="143" spans="1:9" x14ac:dyDescent="0.3">
      <c r="A143" s="45">
        <f>+A142+1</f>
        <v>93</v>
      </c>
      <c r="B143" s="35"/>
      <c r="C143" s="35"/>
      <c r="D143" s="31">
        <f>SUM(D134:D142)</f>
        <v>1372</v>
      </c>
      <c r="F143" s="28">
        <f>SUM(F134:F142)</f>
        <v>8843.0499999999993</v>
      </c>
      <c r="G143" s="29"/>
      <c r="H143" s="28">
        <f>SUM(H134:H142)</f>
        <v>64130</v>
      </c>
      <c r="I143" s="69">
        <f>H143*12/1000</f>
        <v>769.56</v>
      </c>
    </row>
    <row r="144" spans="1:9" x14ac:dyDescent="0.3">
      <c r="A144" s="45"/>
      <c r="B144" s="35"/>
      <c r="C144" s="35"/>
      <c r="D144" s="26"/>
      <c r="F144" s="29"/>
      <c r="G144" s="29"/>
      <c r="H144" s="29"/>
      <c r="I144" s="67"/>
    </row>
    <row r="145" spans="1:10" x14ac:dyDescent="0.3">
      <c r="A145" s="45">
        <f>+A143+1</f>
        <v>94</v>
      </c>
      <c r="B145" t="s">
        <v>55</v>
      </c>
      <c r="C145" s="53">
        <v>761</v>
      </c>
      <c r="D145"/>
    </row>
    <row r="146" spans="1:10" x14ac:dyDescent="0.3">
      <c r="A146" s="45">
        <f>+A145+1</f>
        <v>95</v>
      </c>
      <c r="B146" s="37" t="s">
        <v>63</v>
      </c>
      <c r="C146" s="26"/>
      <c r="D146" s="4">
        <f>H146/45</f>
        <v>-15.851851851851752</v>
      </c>
      <c r="E146" s="34">
        <f>E134</f>
        <v>10</v>
      </c>
      <c r="F146" s="38">
        <f>D146*E146</f>
        <v>-158.51851851851751</v>
      </c>
      <c r="G146">
        <v>45</v>
      </c>
      <c r="H146" s="39">
        <f>I146*1000/12</f>
        <v>-713.33333333332882</v>
      </c>
      <c r="I146" s="70">
        <f>C145-I143</f>
        <v>-8.5599999999999454</v>
      </c>
    </row>
    <row r="147" spans="1:10" x14ac:dyDescent="0.3">
      <c r="A147" s="45"/>
      <c r="B147" s="37"/>
      <c r="C147" s="26"/>
      <c r="D147" s="4"/>
      <c r="E147" s="27"/>
      <c r="F147" s="38"/>
      <c r="H147" s="4"/>
      <c r="I147" s="71"/>
    </row>
    <row r="148" spans="1:10" x14ac:dyDescent="0.3">
      <c r="A148" s="45">
        <f>+A146+1</f>
        <v>96</v>
      </c>
      <c r="B148" s="37" t="s">
        <v>64</v>
      </c>
      <c r="C148" s="26"/>
      <c r="D148" s="4"/>
      <c r="E148" s="27"/>
      <c r="F148" s="41">
        <f>F143+F146</f>
        <v>8684.531481481481</v>
      </c>
      <c r="H148" s="39">
        <f>H143+H146</f>
        <v>63416.666666666672</v>
      </c>
      <c r="I148" s="70">
        <f>I143+I146</f>
        <v>761</v>
      </c>
    </row>
    <row r="149" spans="1:10" x14ac:dyDescent="0.3">
      <c r="A149" s="45"/>
      <c r="B149" s="37"/>
      <c r="C149" s="26"/>
      <c r="D149" s="4"/>
      <c r="E149" s="27"/>
      <c r="F149" s="42"/>
      <c r="H149" s="4"/>
      <c r="I149" s="71"/>
    </row>
    <row r="150" spans="1:10" x14ac:dyDescent="0.3">
      <c r="A150" s="45">
        <f>+A148+1</f>
        <v>97</v>
      </c>
      <c r="B150" s="35" t="s">
        <v>65</v>
      </c>
      <c r="C150" s="53">
        <v>131</v>
      </c>
      <c r="D150"/>
    </row>
    <row r="151" spans="1:10" x14ac:dyDescent="0.3">
      <c r="A151" s="45"/>
      <c r="C151" s="3"/>
      <c r="D151"/>
    </row>
    <row r="152" spans="1:10" x14ac:dyDescent="0.3">
      <c r="A152" s="45"/>
      <c r="B152" s="8" t="s">
        <v>28</v>
      </c>
      <c r="D152" s="12"/>
      <c r="E152" s="13" t="s">
        <v>22</v>
      </c>
      <c r="F152" s="13"/>
      <c r="H152" s="13" t="s">
        <v>29</v>
      </c>
      <c r="I152" s="72"/>
    </row>
    <row r="153" spans="1:10" x14ac:dyDescent="0.3">
      <c r="A153" s="45"/>
      <c r="D153" s="14" t="s">
        <v>19</v>
      </c>
      <c r="E153" s="14" t="s">
        <v>20</v>
      </c>
      <c r="F153" s="15" t="s">
        <v>21</v>
      </c>
      <c r="H153" s="14" t="s">
        <v>20</v>
      </c>
      <c r="I153" s="73" t="s">
        <v>21</v>
      </c>
    </row>
    <row r="154" spans="1:10" x14ac:dyDescent="0.3">
      <c r="A154" s="45">
        <f>+A150+1</f>
        <v>98</v>
      </c>
      <c r="B154" s="35" t="s">
        <v>46</v>
      </c>
      <c r="D154" s="2">
        <f>+D114+D134+D125+D146</f>
        <v>1282.1555555555556</v>
      </c>
      <c r="E154" s="43">
        <v>10</v>
      </c>
      <c r="F154" s="4">
        <f>+$D154*E154*12</f>
        <v>153858.66666666666</v>
      </c>
      <c r="H154" s="62">
        <f>E154*(1.38)</f>
        <v>13.799999999999999</v>
      </c>
      <c r="I154" s="71">
        <f>+$D154*H154*12</f>
        <v>212324.96</v>
      </c>
      <c r="J154" s="58">
        <f t="shared" ref="J154:J160" si="10">H154/E154</f>
        <v>1.38</v>
      </c>
    </row>
    <row r="155" spans="1:10" x14ac:dyDescent="0.3">
      <c r="A155" s="45">
        <f>+A154+1</f>
        <v>99</v>
      </c>
      <c r="B155" s="35" t="s">
        <v>46</v>
      </c>
      <c r="D155" s="2">
        <f>+D115+D135</f>
        <v>780</v>
      </c>
      <c r="E155" s="43">
        <v>4.0999999999999996</v>
      </c>
      <c r="F155" s="4">
        <f t="shared" ref="F155:F162" si="11">+$D155*E155*12</f>
        <v>38375.999999999993</v>
      </c>
      <c r="H155" s="62">
        <v>5.65</v>
      </c>
      <c r="I155" s="71">
        <f t="shared" ref="I155:I162" si="12">+$D155*H155*12</f>
        <v>52884</v>
      </c>
      <c r="J155" s="58">
        <f t="shared" si="10"/>
        <v>1.378048780487805</v>
      </c>
    </row>
    <row r="156" spans="1:10" x14ac:dyDescent="0.3">
      <c r="A156" s="45">
        <f t="shared" ref="A156:A164" si="13">+A155+1</f>
        <v>100</v>
      </c>
      <c r="B156" s="35" t="s">
        <v>46</v>
      </c>
      <c r="D156" s="2">
        <f>+D136</f>
        <v>141</v>
      </c>
      <c r="E156" s="43">
        <f>E136</f>
        <v>6.75</v>
      </c>
      <c r="F156" s="4">
        <f>+$D156*E156*12</f>
        <v>11421</v>
      </c>
      <c r="H156" s="62">
        <v>9.3000000000000007</v>
      </c>
      <c r="I156" s="71">
        <f t="shared" si="12"/>
        <v>15735.600000000002</v>
      </c>
      <c r="J156" s="58">
        <f t="shared" si="10"/>
        <v>1.377777777777778</v>
      </c>
    </row>
    <row r="157" spans="1:10" x14ac:dyDescent="0.3">
      <c r="A157" s="45">
        <f t="shared" si="13"/>
        <v>101</v>
      </c>
      <c r="B157" s="35" t="s">
        <v>51</v>
      </c>
      <c r="D157" s="2">
        <f>+D137+D115</f>
        <v>35</v>
      </c>
      <c r="E157" s="43">
        <v>13.5</v>
      </c>
      <c r="F157" s="4">
        <f t="shared" si="11"/>
        <v>5670</v>
      </c>
      <c r="H157" s="62">
        <v>18.649999999999999</v>
      </c>
      <c r="I157" s="71">
        <f t="shared" si="12"/>
        <v>7833</v>
      </c>
      <c r="J157" s="58">
        <f t="shared" si="10"/>
        <v>1.3814814814814813</v>
      </c>
    </row>
    <row r="158" spans="1:10" x14ac:dyDescent="0.3">
      <c r="A158" s="45">
        <f t="shared" si="13"/>
        <v>102</v>
      </c>
      <c r="B158" s="35" t="s">
        <v>52</v>
      </c>
      <c r="D158" s="2">
        <f>+D138+D116</f>
        <v>0</v>
      </c>
      <c r="E158" s="43">
        <v>17.8</v>
      </c>
      <c r="F158" s="4">
        <f t="shared" si="11"/>
        <v>0</v>
      </c>
      <c r="H158" s="62">
        <v>24.55</v>
      </c>
      <c r="I158" s="71">
        <f t="shared" si="12"/>
        <v>0</v>
      </c>
      <c r="J158" s="58">
        <f t="shared" si="10"/>
        <v>1.3792134831460674</v>
      </c>
    </row>
    <row r="159" spans="1:10" x14ac:dyDescent="0.3">
      <c r="A159" s="45">
        <f t="shared" si="13"/>
        <v>103</v>
      </c>
      <c r="B159" s="35" t="s">
        <v>53</v>
      </c>
      <c r="D159" s="2">
        <f>D117</f>
        <v>12</v>
      </c>
      <c r="E159" s="43">
        <v>23</v>
      </c>
      <c r="F159" s="4">
        <f t="shared" si="11"/>
        <v>3312</v>
      </c>
      <c r="H159" s="62">
        <v>31.7</v>
      </c>
      <c r="I159" s="71">
        <f t="shared" si="12"/>
        <v>4564.7999999999993</v>
      </c>
      <c r="J159" s="58">
        <f t="shared" si="10"/>
        <v>1.3782608695652174</v>
      </c>
    </row>
    <row r="160" spans="1:10" x14ac:dyDescent="0.3">
      <c r="A160" s="45">
        <f t="shared" si="13"/>
        <v>104</v>
      </c>
      <c r="B160" s="35" t="s">
        <v>47</v>
      </c>
      <c r="D160" s="2">
        <f>+D118+D140</f>
        <v>379</v>
      </c>
      <c r="E160" s="43">
        <v>13.5</v>
      </c>
      <c r="F160" s="4">
        <f t="shared" si="11"/>
        <v>61398</v>
      </c>
      <c r="H160" s="62">
        <v>18.649999999999999</v>
      </c>
      <c r="I160" s="71">
        <f t="shared" si="12"/>
        <v>84820.2</v>
      </c>
      <c r="J160" s="58">
        <f t="shared" si="10"/>
        <v>1.3814814814814813</v>
      </c>
    </row>
    <row r="161" spans="1:10" x14ac:dyDescent="0.3">
      <c r="A161" s="45">
        <f t="shared" si="13"/>
        <v>105</v>
      </c>
      <c r="B161" s="35" t="s">
        <v>54</v>
      </c>
      <c r="D161" s="2">
        <f>+D119+D141</f>
        <v>0</v>
      </c>
      <c r="E161" s="43">
        <v>0</v>
      </c>
      <c r="F161" s="4">
        <f t="shared" si="11"/>
        <v>0</v>
      </c>
      <c r="H161" s="62">
        <f t="shared" ref="H161" si="14">E161*(1.38)</f>
        <v>0</v>
      </c>
      <c r="I161" s="71">
        <f t="shared" si="12"/>
        <v>0</v>
      </c>
      <c r="J161" s="58"/>
    </row>
    <row r="162" spans="1:10" x14ac:dyDescent="0.3">
      <c r="A162" s="45">
        <f t="shared" si="13"/>
        <v>106</v>
      </c>
      <c r="B162" s="36" t="s">
        <v>48</v>
      </c>
      <c r="D162" s="2">
        <f>+D120+D142</f>
        <v>362</v>
      </c>
      <c r="E162" s="43">
        <v>3.4</v>
      </c>
      <c r="F162" s="4">
        <f t="shared" si="11"/>
        <v>14769.599999999999</v>
      </c>
      <c r="H162" s="62">
        <v>4.7</v>
      </c>
      <c r="I162" s="71">
        <f t="shared" si="12"/>
        <v>20416.800000000003</v>
      </c>
      <c r="J162" s="58">
        <f>H162/E162</f>
        <v>1.3823529411764708</v>
      </c>
    </row>
    <row r="163" spans="1:10" ht="15" thickBot="1" x14ac:dyDescent="0.35">
      <c r="A163" s="45">
        <f t="shared" si="13"/>
        <v>107</v>
      </c>
      <c r="F163" s="44">
        <f>SUM(F154:F162)</f>
        <v>288805.2666666666</v>
      </c>
      <c r="H163" s="54"/>
      <c r="I163" s="74">
        <f>SUM(I154:I162)</f>
        <v>398579.35999999993</v>
      </c>
    </row>
    <row r="164" spans="1:10" ht="15" thickTop="1" x14ac:dyDescent="0.3">
      <c r="A164" s="45">
        <f t="shared" si="13"/>
        <v>108</v>
      </c>
      <c r="B164" t="s">
        <v>67</v>
      </c>
      <c r="F164" s="4">
        <f>+(C165-F163)/F163</f>
        <v>0.37998175933541406</v>
      </c>
      <c r="I164" s="71">
        <f>+I163-C165</f>
        <v>33.359999999927823</v>
      </c>
    </row>
    <row r="165" spans="1:10" x14ac:dyDescent="0.3">
      <c r="A165" s="45"/>
      <c r="C165" s="63">
        <v>398546</v>
      </c>
      <c r="D165" s="48" t="s">
        <v>71</v>
      </c>
      <c r="I165" s="75">
        <f>+(I163/F163)-1</f>
        <v>0.38009726969429702</v>
      </c>
    </row>
    <row r="166" spans="1:10" x14ac:dyDescent="0.3">
      <c r="A166" s="45"/>
    </row>
    <row r="167" spans="1:10" x14ac:dyDescent="0.3">
      <c r="A167" s="45"/>
      <c r="F167" s="1"/>
    </row>
    <row r="168" spans="1:10" x14ac:dyDescent="0.3">
      <c r="A168" s="45"/>
    </row>
    <row r="169" spans="1:10" x14ac:dyDescent="0.3">
      <c r="A169" s="45"/>
    </row>
    <row r="170" spans="1:10" x14ac:dyDescent="0.3">
      <c r="A170" s="45"/>
    </row>
    <row r="171" spans="1:10" x14ac:dyDescent="0.3">
      <c r="A171" s="45"/>
    </row>
    <row r="172" spans="1:10" x14ac:dyDescent="0.3">
      <c r="A172" s="45"/>
    </row>
    <row r="173" spans="1:10" x14ac:dyDescent="0.3">
      <c r="A173" s="45"/>
    </row>
    <row r="174" spans="1:10" x14ac:dyDescent="0.3">
      <c r="A174" s="45"/>
    </row>
    <row r="175" spans="1:10" x14ac:dyDescent="0.3">
      <c r="A175" s="45"/>
    </row>
    <row r="176" spans="1:10" x14ac:dyDescent="0.3">
      <c r="A176" s="45"/>
    </row>
    <row r="177" spans="1:1" x14ac:dyDescent="0.3">
      <c r="A177" s="45"/>
    </row>
    <row r="178" spans="1:1" x14ac:dyDescent="0.3">
      <c r="A178" s="45"/>
    </row>
    <row r="179" spans="1:1" x14ac:dyDescent="0.3">
      <c r="A179" s="45"/>
    </row>
    <row r="180" spans="1:1" x14ac:dyDescent="0.3">
      <c r="A180" s="45"/>
    </row>
    <row r="181" spans="1:1" x14ac:dyDescent="0.3">
      <c r="A181" s="45"/>
    </row>
    <row r="182" spans="1:1" x14ac:dyDescent="0.3">
      <c r="A182" s="45"/>
    </row>
    <row r="183" spans="1:1" x14ac:dyDescent="0.3">
      <c r="A183" s="45"/>
    </row>
    <row r="184" spans="1:1" x14ac:dyDescent="0.3">
      <c r="A184" s="45"/>
    </row>
    <row r="185" spans="1:1" x14ac:dyDescent="0.3">
      <c r="A185" s="45"/>
    </row>
    <row r="186" spans="1:1" x14ac:dyDescent="0.3">
      <c r="A186" s="45"/>
    </row>
    <row r="187" spans="1:1" x14ac:dyDescent="0.3">
      <c r="A187" s="45"/>
    </row>
    <row r="188" spans="1:1" x14ac:dyDescent="0.3">
      <c r="A188" s="45"/>
    </row>
    <row r="189" spans="1:1" x14ac:dyDescent="0.3">
      <c r="A189" s="45"/>
    </row>
    <row r="190" spans="1:1" x14ac:dyDescent="0.3">
      <c r="A190" s="45"/>
    </row>
    <row r="191" spans="1:1" x14ac:dyDescent="0.3">
      <c r="A191" s="45"/>
    </row>
    <row r="192" spans="1:1" x14ac:dyDescent="0.3">
      <c r="A192" s="45"/>
    </row>
    <row r="193" spans="1:1" x14ac:dyDescent="0.3">
      <c r="A193" s="45"/>
    </row>
    <row r="194" spans="1:1" x14ac:dyDescent="0.3">
      <c r="A194" s="45"/>
    </row>
    <row r="195" spans="1:1" x14ac:dyDescent="0.3">
      <c r="A195" s="45"/>
    </row>
    <row r="196" spans="1:1" x14ac:dyDescent="0.3">
      <c r="A196" s="45"/>
    </row>
    <row r="197" spans="1:1" x14ac:dyDescent="0.3">
      <c r="A197" s="45"/>
    </row>
    <row r="198" spans="1:1" x14ac:dyDescent="0.3">
      <c r="A198" s="45"/>
    </row>
    <row r="199" spans="1:1" x14ac:dyDescent="0.3">
      <c r="A199" s="45"/>
    </row>
    <row r="200" spans="1:1" x14ac:dyDescent="0.3">
      <c r="A200" s="45"/>
    </row>
    <row r="201" spans="1:1" x14ac:dyDescent="0.3">
      <c r="A201" s="45"/>
    </row>
    <row r="202" spans="1:1" x14ac:dyDescent="0.3">
      <c r="A202" s="45"/>
    </row>
    <row r="203" spans="1:1" x14ac:dyDescent="0.3">
      <c r="A203" s="45"/>
    </row>
    <row r="204" spans="1:1" x14ac:dyDescent="0.3">
      <c r="A204" s="45"/>
    </row>
    <row r="205" spans="1:1" x14ac:dyDescent="0.3">
      <c r="A205" s="45"/>
    </row>
    <row r="206" spans="1:1" x14ac:dyDescent="0.3">
      <c r="A206" s="45"/>
    </row>
    <row r="207" spans="1:1" x14ac:dyDescent="0.3">
      <c r="A207" s="45"/>
    </row>
    <row r="208" spans="1:1" x14ac:dyDescent="0.3">
      <c r="A208" s="45"/>
    </row>
    <row r="209" spans="1:1" x14ac:dyDescent="0.3">
      <c r="A209" s="45"/>
    </row>
    <row r="210" spans="1:1" x14ac:dyDescent="0.3">
      <c r="A210" s="45"/>
    </row>
    <row r="211" spans="1:1" x14ac:dyDescent="0.3">
      <c r="A211" s="45"/>
    </row>
    <row r="212" spans="1:1" x14ac:dyDescent="0.3">
      <c r="A212" s="45"/>
    </row>
    <row r="213" spans="1:1" x14ac:dyDescent="0.3">
      <c r="A213" s="45"/>
    </row>
    <row r="214" spans="1:1" x14ac:dyDescent="0.3">
      <c r="A214" s="45"/>
    </row>
    <row r="215" spans="1:1" x14ac:dyDescent="0.3">
      <c r="A215" s="45"/>
    </row>
    <row r="216" spans="1:1" x14ac:dyDescent="0.3">
      <c r="A216" s="45"/>
    </row>
    <row r="217" spans="1:1" x14ac:dyDescent="0.3">
      <c r="A217" s="45"/>
    </row>
    <row r="218" spans="1:1" x14ac:dyDescent="0.3">
      <c r="A218" s="45"/>
    </row>
    <row r="219" spans="1:1" x14ac:dyDescent="0.3">
      <c r="A219" s="45"/>
    </row>
    <row r="220" spans="1:1" x14ac:dyDescent="0.3">
      <c r="A220" s="45"/>
    </row>
    <row r="221" spans="1:1" x14ac:dyDescent="0.3">
      <c r="A221" s="45"/>
    </row>
    <row r="222" spans="1:1" x14ac:dyDescent="0.3">
      <c r="A222" s="45"/>
    </row>
    <row r="223" spans="1:1" x14ac:dyDescent="0.3">
      <c r="A223" s="45"/>
    </row>
    <row r="224" spans="1:1" x14ac:dyDescent="0.3">
      <c r="A224" s="45"/>
    </row>
    <row r="225" spans="1:1" x14ac:dyDescent="0.3">
      <c r="A225" s="45"/>
    </row>
    <row r="226" spans="1:1" x14ac:dyDescent="0.3">
      <c r="A226" s="45"/>
    </row>
    <row r="227" spans="1:1" x14ac:dyDescent="0.3">
      <c r="A227" s="45"/>
    </row>
    <row r="228" spans="1:1" x14ac:dyDescent="0.3">
      <c r="A228" s="45"/>
    </row>
    <row r="229" spans="1:1" x14ac:dyDescent="0.3">
      <c r="A229" s="45"/>
    </row>
    <row r="230" spans="1:1" x14ac:dyDescent="0.3">
      <c r="A230" s="45"/>
    </row>
    <row r="231" spans="1:1" x14ac:dyDescent="0.3">
      <c r="A231" s="45"/>
    </row>
    <row r="232" spans="1:1" x14ac:dyDescent="0.3">
      <c r="A232" s="45"/>
    </row>
    <row r="233" spans="1:1" x14ac:dyDescent="0.3">
      <c r="A233" s="45"/>
    </row>
    <row r="234" spans="1:1" x14ac:dyDescent="0.3">
      <c r="A234" s="45"/>
    </row>
    <row r="235" spans="1:1" x14ac:dyDescent="0.3">
      <c r="A235" s="45"/>
    </row>
    <row r="236" spans="1:1" x14ac:dyDescent="0.3">
      <c r="A236" s="45"/>
    </row>
    <row r="237" spans="1:1" x14ac:dyDescent="0.3">
      <c r="A237" s="45"/>
    </row>
    <row r="238" spans="1:1" x14ac:dyDescent="0.3">
      <c r="A238" s="45"/>
    </row>
    <row r="239" spans="1:1" x14ac:dyDescent="0.3">
      <c r="A239" s="45"/>
    </row>
    <row r="240" spans="1:1" x14ac:dyDescent="0.3">
      <c r="A240" s="45"/>
    </row>
    <row r="241" spans="1:1" x14ac:dyDescent="0.3">
      <c r="A241" s="45"/>
    </row>
    <row r="242" spans="1:1" x14ac:dyDescent="0.3">
      <c r="A242" s="45"/>
    </row>
    <row r="243" spans="1:1" x14ac:dyDescent="0.3">
      <c r="A243" s="45"/>
    </row>
    <row r="244" spans="1:1" x14ac:dyDescent="0.3">
      <c r="A244" s="45"/>
    </row>
    <row r="245" spans="1:1" x14ac:dyDescent="0.3">
      <c r="A245" s="45"/>
    </row>
    <row r="246" spans="1:1" x14ac:dyDescent="0.3">
      <c r="A246" s="45"/>
    </row>
    <row r="247" spans="1:1" x14ac:dyDescent="0.3">
      <c r="A247" s="45"/>
    </row>
    <row r="248" spans="1:1" x14ac:dyDescent="0.3">
      <c r="A248" s="45"/>
    </row>
    <row r="249" spans="1:1" x14ac:dyDescent="0.3">
      <c r="A249" s="45"/>
    </row>
    <row r="250" spans="1:1" x14ac:dyDescent="0.3">
      <c r="A250" s="45"/>
    </row>
    <row r="251" spans="1:1" x14ac:dyDescent="0.3">
      <c r="A251" s="45"/>
    </row>
    <row r="252" spans="1:1" x14ac:dyDescent="0.3">
      <c r="A252" s="45"/>
    </row>
    <row r="253" spans="1:1" x14ac:dyDescent="0.3">
      <c r="A253" s="45"/>
    </row>
    <row r="254" spans="1:1" x14ac:dyDescent="0.3">
      <c r="A254" s="45"/>
    </row>
    <row r="255" spans="1:1" x14ac:dyDescent="0.3">
      <c r="A255" s="45"/>
    </row>
    <row r="256" spans="1:1" x14ac:dyDescent="0.3">
      <c r="A256" s="45"/>
    </row>
    <row r="257" spans="1:1" x14ac:dyDescent="0.3">
      <c r="A257" s="45"/>
    </row>
    <row r="258" spans="1:1" x14ac:dyDescent="0.3">
      <c r="A258" s="45"/>
    </row>
    <row r="259" spans="1:1" x14ac:dyDescent="0.3">
      <c r="A259" s="45"/>
    </row>
    <row r="260" spans="1:1" x14ac:dyDescent="0.3">
      <c r="A260" s="45"/>
    </row>
    <row r="261" spans="1:1" x14ac:dyDescent="0.3">
      <c r="A261" s="45"/>
    </row>
    <row r="262" spans="1:1" x14ac:dyDescent="0.3">
      <c r="A262" s="45"/>
    </row>
    <row r="263" spans="1:1" x14ac:dyDescent="0.3">
      <c r="A263" s="45"/>
    </row>
    <row r="264" spans="1:1" x14ac:dyDescent="0.3">
      <c r="A264" s="45"/>
    </row>
    <row r="265" spans="1:1" x14ac:dyDescent="0.3">
      <c r="A265" s="45"/>
    </row>
    <row r="266" spans="1:1" x14ac:dyDescent="0.3">
      <c r="A266" s="45"/>
    </row>
    <row r="267" spans="1:1" x14ac:dyDescent="0.3">
      <c r="A267" s="45"/>
    </row>
    <row r="268" spans="1:1" x14ac:dyDescent="0.3">
      <c r="A268" s="45"/>
    </row>
    <row r="269" spans="1:1" x14ac:dyDescent="0.3">
      <c r="A269" s="45"/>
    </row>
    <row r="270" spans="1:1" x14ac:dyDescent="0.3">
      <c r="A270" s="45"/>
    </row>
    <row r="271" spans="1:1" x14ac:dyDescent="0.3">
      <c r="A271" s="45"/>
    </row>
    <row r="272" spans="1:1" x14ac:dyDescent="0.3">
      <c r="A272" s="45"/>
    </row>
    <row r="273" spans="1:1" x14ac:dyDescent="0.3">
      <c r="A273" s="45"/>
    </row>
    <row r="274" spans="1:1" x14ac:dyDescent="0.3">
      <c r="A274" s="45"/>
    </row>
    <row r="275" spans="1:1" x14ac:dyDescent="0.3">
      <c r="A275" s="45"/>
    </row>
    <row r="276" spans="1:1" x14ac:dyDescent="0.3">
      <c r="A276" s="45"/>
    </row>
    <row r="277" spans="1:1" x14ac:dyDescent="0.3">
      <c r="A277" s="45"/>
    </row>
    <row r="278" spans="1:1" x14ac:dyDescent="0.3">
      <c r="A278" s="45"/>
    </row>
    <row r="279" spans="1:1" x14ac:dyDescent="0.3">
      <c r="A279" s="45"/>
    </row>
    <row r="280" spans="1:1" x14ac:dyDescent="0.3">
      <c r="A280" s="45"/>
    </row>
    <row r="281" spans="1:1" x14ac:dyDescent="0.3">
      <c r="A281" s="45"/>
    </row>
    <row r="282" spans="1:1" x14ac:dyDescent="0.3">
      <c r="A282" s="45"/>
    </row>
    <row r="283" spans="1:1" x14ac:dyDescent="0.3">
      <c r="A283" s="45"/>
    </row>
    <row r="284" spans="1:1" x14ac:dyDescent="0.3">
      <c r="A284" s="45"/>
    </row>
    <row r="285" spans="1:1" x14ac:dyDescent="0.3">
      <c r="A285" s="45"/>
    </row>
    <row r="286" spans="1:1" x14ac:dyDescent="0.3">
      <c r="A286" s="45"/>
    </row>
    <row r="287" spans="1:1" x14ac:dyDescent="0.3">
      <c r="A287" s="45"/>
    </row>
    <row r="288" spans="1:1" x14ac:dyDescent="0.3">
      <c r="A288" s="45"/>
    </row>
    <row r="289" spans="1:1" x14ac:dyDescent="0.3">
      <c r="A289" s="45"/>
    </row>
    <row r="290" spans="1:1" x14ac:dyDescent="0.3">
      <c r="A290" s="45"/>
    </row>
    <row r="291" spans="1:1" x14ac:dyDescent="0.3">
      <c r="A291" s="45"/>
    </row>
    <row r="292" spans="1:1" x14ac:dyDescent="0.3">
      <c r="A292" s="45"/>
    </row>
    <row r="293" spans="1:1" x14ac:dyDescent="0.3">
      <c r="A293" s="45"/>
    </row>
    <row r="294" spans="1:1" x14ac:dyDescent="0.3">
      <c r="A294" s="45"/>
    </row>
    <row r="295" spans="1:1" x14ac:dyDescent="0.3">
      <c r="A295" s="45"/>
    </row>
    <row r="296" spans="1:1" x14ac:dyDescent="0.3">
      <c r="A296" s="45"/>
    </row>
    <row r="297" spans="1:1" x14ac:dyDescent="0.3">
      <c r="A297" s="45"/>
    </row>
    <row r="298" spans="1:1" x14ac:dyDescent="0.3">
      <c r="A298" s="45"/>
    </row>
    <row r="299" spans="1:1" x14ac:dyDescent="0.3">
      <c r="A299" s="45"/>
    </row>
    <row r="300" spans="1:1" x14ac:dyDescent="0.3">
      <c r="A300" s="45"/>
    </row>
    <row r="301" spans="1:1" x14ac:dyDescent="0.3">
      <c r="A301" s="45"/>
    </row>
    <row r="302" spans="1:1" x14ac:dyDescent="0.3">
      <c r="A302" s="45"/>
    </row>
    <row r="303" spans="1:1" x14ac:dyDescent="0.3">
      <c r="A303" s="45"/>
    </row>
    <row r="304" spans="1:1" x14ac:dyDescent="0.3">
      <c r="A304" s="45"/>
    </row>
    <row r="305" spans="1:1" x14ac:dyDescent="0.3">
      <c r="A305" s="45"/>
    </row>
    <row r="306" spans="1:1" x14ac:dyDescent="0.3">
      <c r="A306" s="45"/>
    </row>
    <row r="307" spans="1:1" x14ac:dyDescent="0.3">
      <c r="A307" s="45"/>
    </row>
    <row r="308" spans="1:1" x14ac:dyDescent="0.3">
      <c r="A308" s="45"/>
    </row>
    <row r="309" spans="1:1" x14ac:dyDescent="0.3">
      <c r="A309" s="45"/>
    </row>
    <row r="310" spans="1:1" x14ac:dyDescent="0.3">
      <c r="A310" s="45"/>
    </row>
    <row r="311" spans="1:1" x14ac:dyDescent="0.3">
      <c r="A311" s="45"/>
    </row>
    <row r="312" spans="1:1" x14ac:dyDescent="0.3">
      <c r="A312" s="45"/>
    </row>
    <row r="313" spans="1:1" x14ac:dyDescent="0.3">
      <c r="A313" s="45"/>
    </row>
    <row r="314" spans="1:1" x14ac:dyDescent="0.3">
      <c r="A314" s="45"/>
    </row>
    <row r="315" spans="1:1" x14ac:dyDescent="0.3">
      <c r="A315" s="45"/>
    </row>
    <row r="316" spans="1:1" x14ac:dyDescent="0.3">
      <c r="A316" s="45"/>
    </row>
    <row r="317" spans="1:1" x14ac:dyDescent="0.3">
      <c r="A317" s="45"/>
    </row>
    <row r="318" spans="1:1" x14ac:dyDescent="0.3">
      <c r="A318" s="45"/>
    </row>
    <row r="319" spans="1:1" x14ac:dyDescent="0.3">
      <c r="A319" s="45"/>
    </row>
    <row r="320" spans="1:1" x14ac:dyDescent="0.3">
      <c r="A320" s="45"/>
    </row>
    <row r="321" spans="1:1" x14ac:dyDescent="0.3">
      <c r="A321" s="45"/>
    </row>
    <row r="322" spans="1:1" x14ac:dyDescent="0.3">
      <c r="A322" s="45"/>
    </row>
    <row r="323" spans="1:1" x14ac:dyDescent="0.3">
      <c r="A323" s="45"/>
    </row>
    <row r="324" spans="1:1" x14ac:dyDescent="0.3">
      <c r="A324" s="45"/>
    </row>
    <row r="325" spans="1:1" x14ac:dyDescent="0.3">
      <c r="A325" s="45"/>
    </row>
    <row r="326" spans="1:1" x14ac:dyDescent="0.3">
      <c r="A326" s="45"/>
    </row>
    <row r="327" spans="1:1" x14ac:dyDescent="0.3">
      <c r="A327" s="45"/>
    </row>
    <row r="328" spans="1:1" x14ac:dyDescent="0.3">
      <c r="A328" s="45"/>
    </row>
    <row r="329" spans="1:1" x14ac:dyDescent="0.3">
      <c r="A329" s="45"/>
    </row>
    <row r="330" spans="1:1" x14ac:dyDescent="0.3">
      <c r="A330" s="45"/>
    </row>
    <row r="331" spans="1:1" x14ac:dyDescent="0.3">
      <c r="A331" s="45"/>
    </row>
    <row r="332" spans="1:1" x14ac:dyDescent="0.3">
      <c r="A332" s="45"/>
    </row>
    <row r="333" spans="1:1" x14ac:dyDescent="0.3">
      <c r="A333" s="45"/>
    </row>
    <row r="334" spans="1:1" x14ac:dyDescent="0.3">
      <c r="A334" s="45"/>
    </row>
    <row r="335" spans="1:1" x14ac:dyDescent="0.3">
      <c r="A335" s="45"/>
    </row>
    <row r="336" spans="1:1" x14ac:dyDescent="0.3">
      <c r="A336" s="45"/>
    </row>
    <row r="337" spans="1:1" x14ac:dyDescent="0.3">
      <c r="A337" s="45"/>
    </row>
    <row r="338" spans="1:1" x14ac:dyDescent="0.3">
      <c r="A338" s="45"/>
    </row>
    <row r="339" spans="1:1" x14ac:dyDescent="0.3">
      <c r="A339" s="45"/>
    </row>
    <row r="340" spans="1:1" x14ac:dyDescent="0.3">
      <c r="A340" s="45"/>
    </row>
    <row r="341" spans="1:1" x14ac:dyDescent="0.3">
      <c r="A341" s="45"/>
    </row>
    <row r="342" spans="1:1" x14ac:dyDescent="0.3">
      <c r="A342" s="45"/>
    </row>
    <row r="343" spans="1:1" x14ac:dyDescent="0.3">
      <c r="A343" s="45"/>
    </row>
    <row r="344" spans="1:1" x14ac:dyDescent="0.3">
      <c r="A344" s="45"/>
    </row>
    <row r="345" spans="1:1" x14ac:dyDescent="0.3">
      <c r="A345" s="45"/>
    </row>
    <row r="346" spans="1:1" x14ac:dyDescent="0.3">
      <c r="A346" s="45"/>
    </row>
    <row r="347" spans="1:1" x14ac:dyDescent="0.3">
      <c r="A347" s="45"/>
    </row>
    <row r="348" spans="1:1" x14ac:dyDescent="0.3">
      <c r="A348" s="45"/>
    </row>
    <row r="349" spans="1:1" x14ac:dyDescent="0.3">
      <c r="A349" s="45"/>
    </row>
    <row r="350" spans="1:1" x14ac:dyDescent="0.3">
      <c r="A350" s="45"/>
    </row>
    <row r="351" spans="1:1" x14ac:dyDescent="0.3">
      <c r="A351" s="45"/>
    </row>
    <row r="352" spans="1:1" x14ac:dyDescent="0.3">
      <c r="A352" s="45"/>
    </row>
    <row r="353" spans="1:1" x14ac:dyDescent="0.3">
      <c r="A353" s="45"/>
    </row>
    <row r="354" spans="1:1" x14ac:dyDescent="0.3">
      <c r="A354" s="45"/>
    </row>
    <row r="355" spans="1:1" x14ac:dyDescent="0.3">
      <c r="A355" s="45"/>
    </row>
    <row r="356" spans="1:1" x14ac:dyDescent="0.3">
      <c r="A356" s="45"/>
    </row>
    <row r="357" spans="1:1" x14ac:dyDescent="0.3">
      <c r="A357" s="45"/>
    </row>
    <row r="358" spans="1:1" x14ac:dyDescent="0.3">
      <c r="A358" s="45"/>
    </row>
    <row r="359" spans="1:1" x14ac:dyDescent="0.3">
      <c r="A359" s="45"/>
    </row>
    <row r="360" spans="1:1" x14ac:dyDescent="0.3">
      <c r="A360" s="45"/>
    </row>
    <row r="361" spans="1:1" x14ac:dyDescent="0.3">
      <c r="A361" s="45"/>
    </row>
    <row r="362" spans="1:1" x14ac:dyDescent="0.3">
      <c r="A362" s="45"/>
    </row>
    <row r="363" spans="1:1" x14ac:dyDescent="0.3">
      <c r="A363" s="45"/>
    </row>
    <row r="364" spans="1:1" x14ac:dyDescent="0.3">
      <c r="A364" s="45"/>
    </row>
    <row r="365" spans="1:1" x14ac:dyDescent="0.3">
      <c r="A365" s="45"/>
    </row>
    <row r="366" spans="1:1" x14ac:dyDescent="0.3">
      <c r="A366" s="45"/>
    </row>
    <row r="367" spans="1:1" x14ac:dyDescent="0.3">
      <c r="A367" s="45"/>
    </row>
    <row r="368" spans="1:1" x14ac:dyDescent="0.3">
      <c r="A368" s="45"/>
    </row>
    <row r="369" spans="1:1" x14ac:dyDescent="0.3">
      <c r="A369" s="45"/>
    </row>
    <row r="370" spans="1:1" x14ac:dyDescent="0.3">
      <c r="A370" s="45"/>
    </row>
  </sheetData>
  <pageMargins left="0.7" right="0.7" top="0.75" bottom="0.75" header="0.3" footer="0.3"/>
  <pageSetup scale="79" orientation="landscape" r:id="rId1"/>
  <rowBreaks count="3" manualBreakCount="3">
    <brk id="40" max="16383" man="1"/>
    <brk id="73" max="16383" man="1"/>
    <brk id="11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opLeftCell="A4" zoomScaleNormal="100" workbookViewId="0">
      <selection activeCell="C8" sqref="C8"/>
    </sheetView>
  </sheetViews>
  <sheetFormatPr defaultColWidth="9.109375" defaultRowHeight="14.4" x14ac:dyDescent="0.3"/>
  <cols>
    <col min="1" max="1" width="4.33203125" style="77" bestFit="1" customWidth="1"/>
    <col min="2" max="2" width="29.6640625" style="77" bestFit="1" customWidth="1"/>
    <col min="3" max="3" width="11.44140625" style="77" bestFit="1" customWidth="1"/>
    <col min="4" max="4" width="19.33203125" style="77" bestFit="1" customWidth="1"/>
    <col min="5" max="5" width="9.109375" style="77"/>
    <col min="6" max="6" width="10.44140625" style="77" bestFit="1" customWidth="1"/>
    <col min="7" max="7" width="7" style="77" bestFit="1" customWidth="1"/>
    <col min="8" max="8" width="22.109375" style="77" bestFit="1" customWidth="1"/>
    <col min="9" max="9" width="11.33203125" style="77" bestFit="1" customWidth="1"/>
    <col min="10" max="16384" width="9.109375" style="77"/>
  </cols>
  <sheetData>
    <row r="1" spans="1:9" x14ac:dyDescent="0.3">
      <c r="A1" s="159"/>
    </row>
    <row r="2" spans="1:9" x14ac:dyDescent="0.3">
      <c r="A2" s="159"/>
      <c r="I2" s="160" t="s">
        <v>77</v>
      </c>
    </row>
    <row r="3" spans="1:9" x14ac:dyDescent="0.3">
      <c r="A3" s="159"/>
      <c r="I3" s="160" t="s">
        <v>78</v>
      </c>
    </row>
    <row r="4" spans="1:9" x14ac:dyDescent="0.3">
      <c r="A4" s="159"/>
    </row>
    <row r="5" spans="1:9" x14ac:dyDescent="0.3">
      <c r="A5" s="161" t="s">
        <v>79</v>
      </c>
      <c r="B5" s="161"/>
      <c r="C5" s="161"/>
      <c r="D5" s="161"/>
      <c r="E5" s="161"/>
      <c r="F5" s="161"/>
      <c r="G5" s="161"/>
      <c r="H5" s="161"/>
      <c r="I5" s="161"/>
    </row>
    <row r="6" spans="1:9" x14ac:dyDescent="0.3">
      <c r="A6" s="162" t="s">
        <v>80</v>
      </c>
      <c r="B6" s="161"/>
      <c r="C6" s="161"/>
      <c r="D6" s="161"/>
      <c r="E6" s="161"/>
      <c r="F6" s="161"/>
      <c r="G6" s="161"/>
      <c r="H6" s="161"/>
      <c r="I6" s="161"/>
    </row>
    <row r="7" spans="1:9" x14ac:dyDescent="0.3">
      <c r="A7" s="161" t="s">
        <v>81</v>
      </c>
      <c r="B7" s="161"/>
      <c r="C7" s="161"/>
      <c r="D7" s="161"/>
      <c r="E7" s="161"/>
      <c r="F7" s="161"/>
      <c r="G7" s="161"/>
      <c r="H7" s="161"/>
      <c r="I7" s="161"/>
    </row>
    <row r="8" spans="1:9" x14ac:dyDescent="0.3">
      <c r="A8" s="161" t="s">
        <v>82</v>
      </c>
      <c r="B8" s="161"/>
      <c r="C8" s="161"/>
      <c r="D8" s="161"/>
      <c r="E8" s="161"/>
      <c r="F8" s="161"/>
      <c r="G8" s="161"/>
      <c r="H8" s="161"/>
      <c r="I8" s="161"/>
    </row>
    <row r="9" spans="1:9" x14ac:dyDescent="0.3">
      <c r="A9" s="159"/>
      <c r="B9" s="159">
        <v>1</v>
      </c>
      <c r="C9" s="159">
        <v>2</v>
      </c>
      <c r="D9" s="159">
        <v>3</v>
      </c>
      <c r="E9" s="159">
        <v>4</v>
      </c>
      <c r="F9" s="159">
        <v>5</v>
      </c>
      <c r="G9" s="159">
        <v>6</v>
      </c>
      <c r="H9" s="159">
        <v>7</v>
      </c>
      <c r="I9" s="159">
        <v>8</v>
      </c>
    </row>
    <row r="10" spans="1:9" x14ac:dyDescent="0.3">
      <c r="A10" s="159"/>
      <c r="G10" s="159"/>
      <c r="H10" s="159"/>
      <c r="I10" s="159"/>
    </row>
    <row r="11" spans="1:9" x14ac:dyDescent="0.3">
      <c r="A11" s="159"/>
      <c r="B11" s="159"/>
      <c r="C11" s="159"/>
      <c r="D11" s="163" t="s">
        <v>83</v>
      </c>
      <c r="E11" s="159"/>
      <c r="F11" s="159"/>
      <c r="H11" s="163" t="s">
        <v>84</v>
      </c>
      <c r="I11" s="159" t="s">
        <v>76</v>
      </c>
    </row>
    <row r="12" spans="1:9" x14ac:dyDescent="0.3">
      <c r="A12" s="159" t="s">
        <v>85</v>
      </c>
      <c r="B12" s="159"/>
      <c r="C12" s="159"/>
      <c r="D12" s="159" t="s">
        <v>86</v>
      </c>
      <c r="E12" s="159" t="s">
        <v>76</v>
      </c>
      <c r="F12" s="159" t="s">
        <v>87</v>
      </c>
      <c r="G12" s="163" t="s">
        <v>88</v>
      </c>
      <c r="H12" s="163" t="s">
        <v>89</v>
      </c>
      <c r="I12" s="159" t="s">
        <v>90</v>
      </c>
    </row>
    <row r="13" spans="1:9" x14ac:dyDescent="0.3">
      <c r="A13" s="159" t="s">
        <v>91</v>
      </c>
      <c r="B13" s="159" t="s">
        <v>92</v>
      </c>
      <c r="C13" s="159" t="s">
        <v>93</v>
      </c>
      <c r="D13" s="159" t="s">
        <v>94</v>
      </c>
      <c r="E13" s="159" t="s">
        <v>95</v>
      </c>
      <c r="F13" s="159" t="s">
        <v>96</v>
      </c>
      <c r="G13" s="159" t="s">
        <v>97</v>
      </c>
      <c r="H13" s="159" t="s">
        <v>94</v>
      </c>
      <c r="I13" s="159" t="s">
        <v>98</v>
      </c>
    </row>
    <row r="14" spans="1:9" x14ac:dyDescent="0.3">
      <c r="A14" s="159"/>
      <c r="B14" s="159"/>
      <c r="C14" s="164"/>
      <c r="D14" s="164"/>
      <c r="E14" s="164"/>
      <c r="F14" s="164"/>
      <c r="H14" s="165" t="s">
        <v>99</v>
      </c>
      <c r="I14" s="159" t="s">
        <v>100</v>
      </c>
    </row>
    <row r="15" spans="1:9" x14ac:dyDescent="0.3">
      <c r="A15" s="159"/>
      <c r="B15" s="159"/>
      <c r="C15" s="164" t="s">
        <v>101</v>
      </c>
      <c r="D15" s="164" t="s">
        <v>101</v>
      </c>
      <c r="E15" s="164" t="s">
        <v>101</v>
      </c>
      <c r="F15" s="164" t="s">
        <v>101</v>
      </c>
      <c r="G15" s="159" t="s">
        <v>101</v>
      </c>
      <c r="H15" s="159" t="s">
        <v>101</v>
      </c>
      <c r="I15" s="159"/>
    </row>
    <row r="16" spans="1:9" x14ac:dyDescent="0.3">
      <c r="A16" s="159"/>
      <c r="C16" s="166"/>
      <c r="D16" s="166"/>
      <c r="E16" s="166"/>
      <c r="F16" s="166"/>
      <c r="H16" s="166"/>
      <c r="I16" s="159"/>
    </row>
    <row r="17" spans="1:9" x14ac:dyDescent="0.3">
      <c r="A17" s="159"/>
      <c r="B17" s="151" t="s">
        <v>81</v>
      </c>
      <c r="C17" s="166"/>
      <c r="D17" s="166"/>
      <c r="E17" s="166"/>
      <c r="F17" s="166"/>
      <c r="H17" s="166"/>
    </row>
    <row r="18" spans="1:9" x14ac:dyDescent="0.3">
      <c r="A18" s="159">
        <v>1</v>
      </c>
      <c r="B18" s="77" t="s">
        <v>102</v>
      </c>
      <c r="C18" s="167">
        <v>2099261.3424765561</v>
      </c>
      <c r="D18" s="168">
        <v>2099261.3424765561</v>
      </c>
      <c r="E18" s="168"/>
      <c r="F18" s="167">
        <v>0</v>
      </c>
      <c r="H18" s="168">
        <v>2099261.3424765561</v>
      </c>
      <c r="I18" s="169">
        <v>1</v>
      </c>
    </row>
    <row r="19" spans="1:9" x14ac:dyDescent="0.3">
      <c r="A19" s="159">
        <v>2</v>
      </c>
      <c r="B19" s="77" t="s">
        <v>103</v>
      </c>
      <c r="C19" s="167">
        <v>9224.9176458150505</v>
      </c>
      <c r="D19" s="168">
        <v>9224.9176458150505</v>
      </c>
      <c r="E19" s="168"/>
      <c r="F19" s="167">
        <v>0</v>
      </c>
      <c r="H19" s="168">
        <v>9224.9176458150505</v>
      </c>
      <c r="I19" s="169">
        <v>1</v>
      </c>
    </row>
    <row r="20" spans="1:9" x14ac:dyDescent="0.3">
      <c r="A20" s="159"/>
      <c r="B20" s="170" t="s">
        <v>104</v>
      </c>
      <c r="C20" s="167">
        <v>0</v>
      </c>
      <c r="D20" s="168">
        <v>0</v>
      </c>
      <c r="E20" s="168">
        <v>0</v>
      </c>
      <c r="F20" s="167">
        <v>0</v>
      </c>
      <c r="H20" s="168">
        <v>0</v>
      </c>
      <c r="I20" s="169">
        <v>0</v>
      </c>
    </row>
    <row r="21" spans="1:9" x14ac:dyDescent="0.3">
      <c r="A21" s="159">
        <v>3</v>
      </c>
      <c r="B21" s="151" t="s">
        <v>105</v>
      </c>
      <c r="C21" s="171">
        <v>2108486.2601223709</v>
      </c>
      <c r="D21" s="171">
        <v>2108486.2601223709</v>
      </c>
      <c r="E21" s="171">
        <v>0</v>
      </c>
      <c r="F21" s="171">
        <v>0</v>
      </c>
      <c r="G21" s="171"/>
      <c r="H21" s="171">
        <v>2108486.2601223709</v>
      </c>
      <c r="I21" s="172">
        <v>1</v>
      </c>
    </row>
    <row r="22" spans="1:9" x14ac:dyDescent="0.3">
      <c r="A22" s="159"/>
      <c r="C22" s="167"/>
      <c r="D22" s="168"/>
      <c r="E22" s="168"/>
      <c r="F22" s="167"/>
      <c r="H22" s="168"/>
      <c r="I22" s="169"/>
    </row>
    <row r="23" spans="1:9" x14ac:dyDescent="0.3">
      <c r="A23" s="159">
        <v>4</v>
      </c>
      <c r="B23" s="151" t="s">
        <v>106</v>
      </c>
      <c r="C23" s="173">
        <v>877416</v>
      </c>
      <c r="D23" s="173">
        <v>13981.515806938436</v>
      </c>
      <c r="E23" s="173">
        <v>863434.48419306159</v>
      </c>
      <c r="F23" s="173">
        <v>0</v>
      </c>
      <c r="H23" s="173">
        <v>877416</v>
      </c>
      <c r="I23" s="174">
        <v>62.755427388250382</v>
      </c>
    </row>
    <row r="24" spans="1:9" x14ac:dyDescent="0.3">
      <c r="A24" s="159"/>
      <c r="C24" s="175"/>
      <c r="D24" s="168"/>
      <c r="E24" s="168"/>
      <c r="F24" s="167"/>
      <c r="H24" s="168"/>
      <c r="I24" s="169"/>
    </row>
    <row r="25" spans="1:9" x14ac:dyDescent="0.3">
      <c r="A25" s="159"/>
      <c r="B25" s="151" t="s">
        <v>107</v>
      </c>
      <c r="C25" s="168"/>
      <c r="D25" s="168"/>
      <c r="E25" s="168"/>
      <c r="F25" s="167"/>
      <c r="H25" s="168"/>
    </row>
    <row r="26" spans="1:9" x14ac:dyDescent="0.3">
      <c r="A26" s="159">
        <v>5</v>
      </c>
      <c r="B26" s="77" t="s">
        <v>108</v>
      </c>
      <c r="C26" s="168">
        <v>133208.97050015116</v>
      </c>
      <c r="D26" s="168">
        <v>210451.11432784967</v>
      </c>
      <c r="E26" s="168">
        <v>0</v>
      </c>
      <c r="F26" s="167">
        <v>93060.512690416785</v>
      </c>
      <c r="H26" s="168">
        <v>303511.62701826647</v>
      </c>
      <c r="I26" s="169">
        <v>0.63296871069369853</v>
      </c>
    </row>
    <row r="27" spans="1:9" x14ac:dyDescent="0.3">
      <c r="A27" s="159">
        <v>6</v>
      </c>
      <c r="B27" s="77" t="s">
        <v>109</v>
      </c>
      <c r="C27" s="168">
        <v>13051687.273193678</v>
      </c>
      <c r="D27" s="168">
        <v>9479157.0947882049</v>
      </c>
      <c r="E27" s="168">
        <v>0</v>
      </c>
      <c r="F27" s="167">
        <v>4191639.5735484883</v>
      </c>
      <c r="H27" s="168">
        <v>13670796.668336693</v>
      </c>
      <c r="I27" s="169">
        <v>1.3768826851039011</v>
      </c>
    </row>
    <row r="28" spans="1:9" x14ac:dyDescent="0.3">
      <c r="A28" s="159">
        <v>7</v>
      </c>
      <c r="B28" s="77" t="s">
        <v>110</v>
      </c>
      <c r="C28" s="168">
        <v>432247.78212948539</v>
      </c>
      <c r="D28" s="168">
        <v>293249.3393175106</v>
      </c>
      <c r="E28" s="168">
        <v>0</v>
      </c>
      <c r="F28" s="167">
        <v>129673.50612598856</v>
      </c>
      <c r="H28" s="168">
        <v>422922.84544349916</v>
      </c>
      <c r="I28" s="169">
        <v>1.4739940527588935</v>
      </c>
    </row>
    <row r="29" spans="1:9" x14ac:dyDescent="0.3">
      <c r="A29" s="159">
        <v>8</v>
      </c>
      <c r="B29" s="77" t="s">
        <v>111</v>
      </c>
      <c r="C29" s="168">
        <v>2617930.231412597</v>
      </c>
      <c r="D29" s="168">
        <v>1495528.9667893057</v>
      </c>
      <c r="E29" s="168">
        <v>0</v>
      </c>
      <c r="F29" s="167">
        <v>661316.01553779293</v>
      </c>
      <c r="H29" s="168">
        <v>2156844.9823270985</v>
      </c>
      <c r="I29" s="169">
        <v>1.7505045302017332</v>
      </c>
    </row>
    <row r="30" spans="1:9" x14ac:dyDescent="0.3">
      <c r="A30" s="159">
        <v>9</v>
      </c>
      <c r="B30" s="77" t="s">
        <v>112</v>
      </c>
      <c r="C30" s="168">
        <v>3688990.7509316457</v>
      </c>
      <c r="D30" s="168">
        <v>2192753.7489893995</v>
      </c>
      <c r="E30" s="168">
        <v>0</v>
      </c>
      <c r="F30" s="167">
        <v>969625.60039903398</v>
      </c>
      <c r="H30" s="168">
        <v>3162379.3493884336</v>
      </c>
      <c r="I30" s="169">
        <v>1.6823552360276819</v>
      </c>
    </row>
    <row r="31" spans="1:9" x14ac:dyDescent="0.3">
      <c r="A31" s="159">
        <v>10</v>
      </c>
      <c r="B31" s="77" t="s">
        <v>113</v>
      </c>
      <c r="C31" s="168">
        <v>2028369.9859479484</v>
      </c>
      <c r="D31" s="168">
        <v>1514647.3440058976</v>
      </c>
      <c r="E31" s="168">
        <v>0</v>
      </c>
      <c r="F31" s="167">
        <v>669770.07381763263</v>
      </c>
      <c r="H31" s="168">
        <v>2184417.4178235303</v>
      </c>
      <c r="I31" s="169">
        <v>1.3391698034364694</v>
      </c>
    </row>
    <row r="32" spans="1:9" x14ac:dyDescent="0.3">
      <c r="A32" s="159">
        <v>11</v>
      </c>
      <c r="B32" s="77" t="s">
        <v>114</v>
      </c>
      <c r="C32" s="168">
        <v>364270.94273420569</v>
      </c>
      <c r="D32" s="168">
        <v>288335.52423099056</v>
      </c>
      <c r="E32" s="168">
        <v>0</v>
      </c>
      <c r="F32" s="167">
        <v>127500.63974474864</v>
      </c>
      <c r="H32" s="168">
        <v>415836.16397573921</v>
      </c>
      <c r="I32" s="176">
        <v>1.2633578318375434</v>
      </c>
    </row>
    <row r="33" spans="1:9" x14ac:dyDescent="0.3">
      <c r="A33" s="159"/>
      <c r="C33" s="177"/>
      <c r="D33" s="177"/>
      <c r="E33" s="177"/>
      <c r="F33" s="173"/>
      <c r="H33" s="177"/>
      <c r="I33" s="176"/>
    </row>
    <row r="34" spans="1:9" x14ac:dyDescent="0.3">
      <c r="A34" s="159">
        <v>12</v>
      </c>
      <c r="B34" s="151" t="s">
        <v>115</v>
      </c>
      <c r="C34" s="171">
        <v>22316705.93684971</v>
      </c>
      <c r="D34" s="171">
        <v>15474123.132449158</v>
      </c>
      <c r="E34" s="171">
        <v>0</v>
      </c>
      <c r="F34" s="171">
        <v>6842585.9218641007</v>
      </c>
      <c r="G34" s="171"/>
      <c r="H34" s="171">
        <v>22316709.054313257</v>
      </c>
      <c r="I34" s="172">
        <v>1.4421951890799998</v>
      </c>
    </row>
    <row r="35" spans="1:9" ht="15" thickBot="1" x14ac:dyDescent="0.35">
      <c r="A35" s="159">
        <v>13</v>
      </c>
      <c r="B35" s="151" t="s">
        <v>116</v>
      </c>
      <c r="C35" s="178">
        <v>25302608.19697208</v>
      </c>
      <c r="D35" s="178">
        <v>17596590.908378467</v>
      </c>
      <c r="E35" s="178">
        <v>863434.48419306159</v>
      </c>
      <c r="F35" s="178">
        <v>6842585.9218641007</v>
      </c>
      <c r="G35" s="178"/>
      <c r="H35" s="178">
        <v>25302611.314435627</v>
      </c>
      <c r="I35" s="179">
        <v>1.4379267170963472</v>
      </c>
    </row>
    <row r="36" spans="1:9" ht="15" thickTop="1" x14ac:dyDescent="0.3"/>
  </sheetData>
  <pageMargins left="0.7" right="0.7" top="0.75" bottom="0.75" header="0.3" footer="0.3"/>
  <pageSetup scale="98" orientation="landscape" r:id="rId1"/>
  <headerFooter>
    <oddHeader>&amp;R&amp;"Calibri,Bold"PUB-NLH-117, Attachment 2
Page &amp;P of &amp;N, NLH 2013 GRA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Rate Design</vt:lpstr>
      <vt:lpstr>Rate Design (DEM)</vt:lpstr>
      <vt:lpstr>Rate Design (ENER) (1)</vt:lpstr>
      <vt:lpstr>Rate Design (ENER) (3)</vt:lpstr>
      <vt:lpstr>Rate Design (ENER) (2)</vt:lpstr>
      <vt:lpstr>COS Sch 1.2 pg 6of6</vt:lpstr>
      <vt:lpstr>'Rate Design'!Print_Titles</vt:lpstr>
      <vt:lpstr>'Rate Design (DEM)'!Print_Titles</vt:lpstr>
      <vt:lpstr>'Rate Design (ENER) (1)'!Print_Titles</vt:lpstr>
      <vt:lpstr>'Rate Design (ENER) (2)'!Print_Titles</vt:lpstr>
      <vt:lpstr>'Rate Design (ENER) (3)'!Print_Titles</vt:lpstr>
    </vt:vector>
  </TitlesOfParts>
  <Company>Newfoundland and Labrador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Dunphy, Angela</dc:creator>
  <cp:lastModifiedBy>%USERNAME%</cp:lastModifiedBy>
  <cp:lastPrinted>2013-10-07T18:24:55Z</cp:lastPrinted>
  <dcterms:created xsi:type="dcterms:W3CDTF">2011-12-16T18:35:35Z</dcterms:created>
  <dcterms:modified xsi:type="dcterms:W3CDTF">2013-10-17T17:47:03Z</dcterms:modified>
</cp:coreProperties>
</file>